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chdioceseofseattle.sharepoint.com/sites/PSO/Shared Documents/General/Payroll Services Office/Memos &amp; Communication/Payroll Calendars 2022/"/>
    </mc:Choice>
  </mc:AlternateContent>
  <xr:revisionPtr revIDLastSave="13" documentId="11_6CC9A94584F00505D82790FFF8EF627C78F6EB68" xr6:coauthVersionLast="47" xr6:coauthVersionMax="47" xr10:uidLastSave="{72CA2864-E2A3-469C-A12E-1DF4111C5FD3}"/>
  <bookViews>
    <workbookView xWindow="-120" yWindow="-120" windowWidth="29040" windowHeight="15840" xr2:uid="{00000000-000D-0000-FFFF-FFFF00000000}"/>
  </bookViews>
  <sheets>
    <sheet name="Calendar" sheetId="1" r:id="rId1"/>
  </sheets>
  <definedNames>
    <definedName name="AprSun1">DATEVALUE("4/1/"&amp;Calendar!$H$1)-WEEKDAY(DATEVALUE("4/1/"&amp;Calendar!$H$1))+1</definedName>
    <definedName name="AugSun1">DATEVALUE("8/1/"&amp;Calendar!$H$1)-WEEKDAY(DATEVALUE("8/1/"&amp;Calendar!$H$1))+1</definedName>
    <definedName name="ColumnTitleRegion1..H9.1">Calendar!$A$6</definedName>
    <definedName name="ColumnTitleRegion1..I9.1">Calendar!$A$6</definedName>
    <definedName name="ColumnTitleRegion10..AF9.1">Calendar!$A$33</definedName>
    <definedName name="ColumnTitleRegion10..AG9.1">Calendar!$A$33</definedName>
    <definedName name="ColumnTitleRegion11..AF18.1">Calendar!$I$33</definedName>
    <definedName name="ColumnTitleRegion11..AG18.1">Calendar!$I$33</definedName>
    <definedName name="ColumnTitleRegion12..AF27.1">Calendar!$Q$33</definedName>
    <definedName name="ColumnTitleRegion12..AG27.1">Calendar!$Q$33</definedName>
    <definedName name="ColumnTitleRegion2..H18.1">Calendar!$I$6</definedName>
    <definedName name="ColumnTitleRegion2..I18.1">Calendar!$I$6</definedName>
    <definedName name="ColumnTitleRegion3..H27.1">Calendar!$Q$6</definedName>
    <definedName name="ColumnTitleRegion3..I27.1">Calendar!$Q$6</definedName>
    <definedName name="ColumnTitleRegion4..P9.1">Calendar!$A$15</definedName>
    <definedName name="ColumnTitleRegion4..Q9.1">Calendar!$A$15</definedName>
    <definedName name="ColumnTitleRegion5..P18.1">Calendar!$I$15</definedName>
    <definedName name="ColumnTitleRegion5..Q18.1">Calendar!$I$15</definedName>
    <definedName name="ColumnTitleRegion6..P27.1">Calendar!$Q$15</definedName>
    <definedName name="ColumnTitleRegion6..Q27.1">Calendar!$Q$15</definedName>
    <definedName name="ColumnTitleRegion7..X9.1">Calendar!$A$24</definedName>
    <definedName name="ColumnTitleRegion7..Y9.1">Calendar!$A$24</definedName>
    <definedName name="ColumnTitleRegion8..X18.1">Calendar!$I$24</definedName>
    <definedName name="ColumnTitleRegion8..Y18.1">Calendar!$I$24</definedName>
    <definedName name="ColumnTitleRegion9..X27.1">Calendar!$Q$24</definedName>
    <definedName name="ColumnTitleRegion9..Y27.1">Calendar!$Q$24</definedName>
    <definedName name="DecSun1">DATEVALUE("12/1/"&amp;Calendar!$H$1)-WEEKDAY(DATEVALUE("12/1/"&amp;Calendar!$H$1))+1</definedName>
    <definedName name="FebSun1">DATEVALUE("2/1/"&amp;Calendar!$H$1)-WEEKDAY(DATEVALUE("2/1/"&amp;Calendar!$H$1))+1</definedName>
    <definedName name="JanSun1">DATEVALUE("1/1/"&amp;Calendar!$H$1)-WEEKDAY(DATEVALUE("1/1/"&amp;Calendar!$H$1))+1</definedName>
    <definedName name="JulSun1">DATEVALUE("7/1/"&amp;Calendar!$H$1)-WEEKDAY(DATEVALUE("7/1/"&amp;Calendar!$H$1))+1</definedName>
    <definedName name="JunSun1">DATEVALUE("6/1/"&amp;Calendar!$H$1)-WEEKDAY(DATEVALUE("6/1/"&amp;Calendar!$H$1))+1</definedName>
    <definedName name="MarSun1">DATEVALUE("3/1/"&amp;Calendar!$H$1)-WEEKDAY(DATEVALUE("3/1/"&amp;Calendar!$H$1))+1</definedName>
    <definedName name="MaySun1">DATEVALUE("5/1/"&amp;Calendar!$H$1)-WEEKDAY(DATEVALUE("5/1/"&amp;Calendar!$H$1))+1</definedName>
    <definedName name="NovSun1">DATEVALUE("11/1/"&amp;Calendar!$H$1)-WEEKDAY(DATEVALUE("11/1/"&amp;Calendar!$H$1))+1</definedName>
    <definedName name="OctSun1">DATEVALUE("10/1/"&amp;Calendar!$H$1)-WEEKDAY(DATEVALUE("10/1/"&amp;Calendar!$H$1))+1</definedName>
    <definedName name="SepSun1">DATEVALUE("9/1/"&amp;Calendar!$H$1)-WEEKDAY(DATEVALUE("9/1/"&amp;Calendar!$H$1))+1</definedName>
    <definedName name="Year">Calendar!$H$1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G34" i="1" l="1"/>
  <c r="A17" i="1"/>
  <c r="M9" i="1"/>
  <c r="G36" i="1"/>
  <c r="G19" i="1"/>
  <c r="A9" i="1"/>
  <c r="G20" i="1"/>
  <c r="F7" i="1"/>
  <c r="D9" i="1"/>
  <c r="D38" i="1"/>
  <c r="G16" i="1"/>
  <c r="C17" i="1"/>
  <c r="G18" i="1"/>
  <c r="D37" i="1"/>
  <c r="A12" i="1"/>
  <c r="C25" i="1"/>
  <c r="G26" i="1"/>
  <c r="C36" i="1"/>
  <c r="G37" i="1"/>
  <c r="D30" i="1"/>
  <c r="O25" i="1"/>
  <c r="D7" i="1"/>
  <c r="D34" i="1"/>
  <c r="D26" i="1"/>
  <c r="E18" i="1"/>
  <c r="C19" i="1"/>
  <c r="C20" i="1"/>
  <c r="G21" i="1"/>
  <c r="L35" i="1"/>
  <c r="J16" i="1"/>
  <c r="W9" i="1"/>
  <c r="B16" i="1"/>
  <c r="F25" i="1"/>
  <c r="B8" i="1"/>
  <c r="F17" i="1"/>
  <c r="C35" i="1"/>
  <c r="F9" i="1"/>
  <c r="C27" i="1"/>
  <c r="D10" i="1"/>
  <c r="C28" i="1"/>
  <c r="D11" i="1"/>
  <c r="D29" i="1"/>
  <c r="D12" i="1"/>
  <c r="E39" i="1"/>
  <c r="I8" i="1"/>
  <c r="L27" i="1"/>
  <c r="A7" i="1"/>
  <c r="E16" i="1"/>
  <c r="A34" i="1"/>
  <c r="E8" i="1"/>
  <c r="B26" i="1"/>
  <c r="E35" i="1"/>
  <c r="B18" i="1"/>
  <c r="G27" i="1"/>
  <c r="F10" i="1"/>
  <c r="G28" i="1"/>
  <c r="A20" i="1"/>
  <c r="G29" i="1"/>
  <c r="E21" i="1"/>
  <c r="L7" i="1"/>
  <c r="N8" i="1"/>
  <c r="L21" i="1"/>
  <c r="M28" i="1"/>
  <c r="A21" i="1"/>
  <c r="A39" i="1"/>
  <c r="N16" i="1"/>
  <c r="O17" i="1"/>
  <c r="K10" i="1"/>
  <c r="Q25" i="1"/>
  <c r="J29" i="1"/>
  <c r="V37" i="1"/>
  <c r="E7" i="1"/>
  <c r="C16" i="1"/>
  <c r="B25" i="1"/>
  <c r="G25" i="1"/>
  <c r="E34" i="1"/>
  <c r="D8" i="1"/>
  <c r="B17" i="1"/>
  <c r="G17" i="1"/>
  <c r="F26" i="1"/>
  <c r="D35" i="1"/>
  <c r="B9" i="1"/>
  <c r="A18" i="1"/>
  <c r="F18" i="1"/>
  <c r="D27" i="1"/>
  <c r="E36" i="1"/>
  <c r="E10" i="1"/>
  <c r="E19" i="1"/>
  <c r="F28" i="1"/>
  <c r="E37" i="1"/>
  <c r="E11" i="1"/>
  <c r="F20" i="1"/>
  <c r="F29" i="1"/>
  <c r="E38" i="1"/>
  <c r="F12" i="1"/>
  <c r="F21" i="1"/>
  <c r="F30" i="1"/>
  <c r="I7" i="1"/>
  <c r="K16" i="1"/>
  <c r="L34" i="1"/>
  <c r="N17" i="1"/>
  <c r="J9" i="1"/>
  <c r="O27" i="1"/>
  <c r="O11" i="1"/>
  <c r="N39" i="1"/>
  <c r="R36" i="1"/>
  <c r="B7" i="1"/>
  <c r="A16" i="1"/>
  <c r="F16" i="1"/>
  <c r="D25" i="1"/>
  <c r="C34" i="1"/>
  <c r="A8" i="1"/>
  <c r="F8" i="1"/>
  <c r="E17" i="1"/>
  <c r="C26" i="1"/>
  <c r="A35" i="1"/>
  <c r="G35" i="1"/>
  <c r="E9" i="1"/>
  <c r="C18" i="1"/>
  <c r="B27" i="1"/>
  <c r="A36" i="1"/>
  <c r="A10" i="1"/>
  <c r="B19" i="1"/>
  <c r="B28" i="1"/>
  <c r="A37" i="1"/>
  <c r="B11" i="1"/>
  <c r="B20" i="1"/>
  <c r="B29" i="1"/>
  <c r="C38" i="1"/>
  <c r="B12" i="1"/>
  <c r="B21" i="1"/>
  <c r="C30" i="1"/>
  <c r="C39" i="1"/>
  <c r="M7" i="1"/>
  <c r="L25" i="1"/>
  <c r="M8" i="1"/>
  <c r="K26" i="1"/>
  <c r="N18" i="1"/>
  <c r="M19" i="1"/>
  <c r="J38" i="1"/>
  <c r="U26" i="1"/>
  <c r="R38" i="1"/>
  <c r="C7" i="1"/>
  <c r="G7" i="1"/>
  <c r="D16" i="1"/>
  <c r="A25" i="1"/>
  <c r="E25" i="1"/>
  <c r="B34" i="1"/>
  <c r="F34" i="1"/>
  <c r="C8" i="1"/>
  <c r="G8" i="1"/>
  <c r="D17" i="1"/>
  <c r="A26" i="1"/>
  <c r="E26" i="1"/>
  <c r="B35" i="1"/>
  <c r="F35" i="1"/>
  <c r="C9" i="1"/>
  <c r="G9" i="1"/>
  <c r="D18" i="1"/>
  <c r="A27" i="1"/>
  <c r="F27" i="1"/>
  <c r="D36" i="1"/>
  <c r="B10" i="1"/>
  <c r="A19" i="1"/>
  <c r="F19" i="1"/>
  <c r="D28" i="1"/>
  <c r="C37" i="1"/>
  <c r="A11" i="1"/>
  <c r="F11" i="1"/>
  <c r="E20" i="1"/>
  <c r="C29" i="1"/>
  <c r="A38" i="1"/>
  <c r="G38" i="1"/>
  <c r="E12" i="1"/>
  <c r="C21" i="1"/>
  <c r="B30" i="1"/>
  <c r="G30" i="1"/>
  <c r="G39" i="1"/>
  <c r="N7" i="1"/>
  <c r="K25" i="1"/>
  <c r="M34" i="1"/>
  <c r="J17" i="1"/>
  <c r="I35" i="1"/>
  <c r="K18" i="1"/>
  <c r="N36" i="1"/>
  <c r="O37" i="1"/>
  <c r="L12" i="1"/>
  <c r="S8" i="1"/>
  <c r="T19" i="1"/>
  <c r="D39" i="1"/>
  <c r="J7" i="1"/>
  <c r="I16" i="1"/>
  <c r="O16" i="1"/>
  <c r="I34" i="1"/>
  <c r="J8" i="1"/>
  <c r="K17" i="1"/>
  <c r="L26" i="1"/>
  <c r="M35" i="1"/>
  <c r="N9" i="1"/>
  <c r="O18" i="1"/>
  <c r="I36" i="1"/>
  <c r="L10" i="1"/>
  <c r="N28" i="1"/>
  <c r="I20" i="1"/>
  <c r="K38" i="1"/>
  <c r="M21" i="1"/>
  <c r="O39" i="1"/>
  <c r="R25" i="1"/>
  <c r="T8" i="1"/>
  <c r="V26" i="1"/>
  <c r="Q18" i="1"/>
  <c r="S36" i="1"/>
  <c r="U19" i="1"/>
  <c r="W37" i="1"/>
  <c r="S38" i="1"/>
  <c r="O26" i="1"/>
  <c r="I9" i="1"/>
  <c r="J18" i="1"/>
  <c r="K27" i="1"/>
  <c r="M36" i="1"/>
  <c r="L19" i="1"/>
  <c r="N37" i="1"/>
  <c r="I29" i="1"/>
  <c r="K12" i="1"/>
  <c r="M30" i="1"/>
  <c r="W7" i="1"/>
  <c r="R34" i="1"/>
  <c r="T17" i="1"/>
  <c r="V35" i="1"/>
  <c r="Q27" i="1"/>
  <c r="S10" i="1"/>
  <c r="U28" i="1"/>
  <c r="W11" i="1"/>
  <c r="T21" i="1"/>
  <c r="N30" i="1"/>
  <c r="Q16" i="1"/>
  <c r="S34" i="1"/>
  <c r="U17" i="1"/>
  <c r="W35" i="1"/>
  <c r="R27" i="1"/>
  <c r="T10" i="1"/>
  <c r="V28" i="1"/>
  <c r="Q20" i="1"/>
  <c r="U21" i="1"/>
  <c r="Q29" i="1"/>
  <c r="S12" i="1"/>
  <c r="U30" i="1"/>
  <c r="R29" i="1"/>
  <c r="T12" i="1"/>
  <c r="V30" i="1"/>
  <c r="E27" i="1"/>
  <c r="B36" i="1"/>
  <c r="F36" i="1"/>
  <c r="C10" i="1"/>
  <c r="G10" i="1"/>
  <c r="D19" i="1"/>
  <c r="A28" i="1"/>
  <c r="E28" i="1"/>
  <c r="B37" i="1"/>
  <c r="F37" i="1"/>
  <c r="C11" i="1"/>
  <c r="G11" i="1"/>
  <c r="D20" i="1"/>
  <c r="A29" i="1"/>
  <c r="E29" i="1"/>
  <c r="B38" i="1"/>
  <c r="F38" i="1"/>
  <c r="C12" i="1"/>
  <c r="G12" i="1"/>
  <c r="D21" i="1"/>
  <c r="A30" i="1"/>
  <c r="E30" i="1"/>
  <c r="B39" i="1"/>
  <c r="F39" i="1"/>
  <c r="K7" i="1"/>
  <c r="O7" i="1"/>
  <c r="L16" i="1"/>
  <c r="I25" i="1"/>
  <c r="M25" i="1"/>
  <c r="J34" i="1"/>
  <c r="N34" i="1"/>
  <c r="K8" i="1"/>
  <c r="O8" i="1"/>
  <c r="L17" i="1"/>
  <c r="I26" i="1"/>
  <c r="M26" i="1"/>
  <c r="J35" i="1"/>
  <c r="N35" i="1"/>
  <c r="K9" i="1"/>
  <c r="O9" i="1"/>
  <c r="L18" i="1"/>
  <c r="I27" i="1"/>
  <c r="M27" i="1"/>
  <c r="J36" i="1"/>
  <c r="O36" i="1"/>
  <c r="O10" i="1"/>
  <c r="I28" i="1"/>
  <c r="J37" i="1"/>
  <c r="K11" i="1"/>
  <c r="L20" i="1"/>
  <c r="M29" i="1"/>
  <c r="N38" i="1"/>
  <c r="O12" i="1"/>
  <c r="I30" i="1"/>
  <c r="J39" i="1"/>
  <c r="S7" i="1"/>
  <c r="T16" i="1"/>
  <c r="U25" i="1"/>
  <c r="V34" i="1"/>
  <c r="W8" i="1"/>
  <c r="Q26" i="1"/>
  <c r="R35" i="1"/>
  <c r="S9" i="1"/>
  <c r="T18" i="1"/>
  <c r="U27" i="1"/>
  <c r="V36" i="1"/>
  <c r="W10" i="1"/>
  <c r="Q28" i="1"/>
  <c r="R37" i="1"/>
  <c r="S11" i="1"/>
  <c r="T20" i="1"/>
  <c r="U29" i="1"/>
  <c r="V38" i="1"/>
  <c r="W12" i="1"/>
  <c r="Q30" i="1"/>
  <c r="R39" i="1"/>
  <c r="M16" i="1"/>
  <c r="J25" i="1"/>
  <c r="N25" i="1"/>
  <c r="K34" i="1"/>
  <c r="O34" i="1"/>
  <c r="L8" i="1"/>
  <c r="I17" i="1"/>
  <c r="M17" i="1"/>
  <c r="J26" i="1"/>
  <c r="N26" i="1"/>
  <c r="K35" i="1"/>
  <c r="O35" i="1"/>
  <c r="L9" i="1"/>
  <c r="I18" i="1"/>
  <c r="M18" i="1"/>
  <c r="J27" i="1"/>
  <c r="N27" i="1"/>
  <c r="K36" i="1"/>
  <c r="J10" i="1"/>
  <c r="I19" i="1"/>
  <c r="J28" i="1"/>
  <c r="K37" i="1"/>
  <c r="L11" i="1"/>
  <c r="M20" i="1"/>
  <c r="N29" i="1"/>
  <c r="O38" i="1"/>
  <c r="I21" i="1"/>
  <c r="J30" i="1"/>
  <c r="K39" i="1"/>
  <c r="T7" i="1"/>
  <c r="U16" i="1"/>
  <c r="V25" i="1"/>
  <c r="W34" i="1"/>
  <c r="Q17" i="1"/>
  <c r="R26" i="1"/>
  <c r="S35" i="1"/>
  <c r="T9" i="1"/>
  <c r="U18" i="1"/>
  <c r="V27" i="1"/>
  <c r="W36" i="1"/>
  <c r="Q19" i="1"/>
  <c r="R28" i="1"/>
  <c r="S37" i="1"/>
  <c r="T11" i="1"/>
  <c r="U20" i="1"/>
  <c r="V29" i="1"/>
  <c r="W38" i="1"/>
  <c r="Q21" i="1"/>
  <c r="R30" i="1"/>
  <c r="S39" i="1"/>
  <c r="L36" i="1"/>
  <c r="I10" i="1"/>
  <c r="M10" i="1"/>
  <c r="J19" i="1"/>
  <c r="N19" i="1"/>
  <c r="K28" i="1"/>
  <c r="O28" i="1"/>
  <c r="L37" i="1"/>
  <c r="I11" i="1"/>
  <c r="M11" i="1"/>
  <c r="J20" i="1"/>
  <c r="N20" i="1"/>
  <c r="K29" i="1"/>
  <c r="O29" i="1"/>
  <c r="L38" i="1"/>
  <c r="I12" i="1"/>
  <c r="M12" i="1"/>
  <c r="J21" i="1"/>
  <c r="N21" i="1"/>
  <c r="K30" i="1"/>
  <c r="O30" i="1"/>
  <c r="L39" i="1"/>
  <c r="Q7" i="1"/>
  <c r="U7" i="1"/>
  <c r="R16" i="1"/>
  <c r="V16" i="1"/>
  <c r="S25" i="1"/>
  <c r="W25" i="1"/>
  <c r="T34" i="1"/>
  <c r="Q8" i="1"/>
  <c r="U8" i="1"/>
  <c r="R17" i="1"/>
  <c r="V17" i="1"/>
  <c r="S26" i="1"/>
  <c r="W26" i="1"/>
  <c r="T35" i="1"/>
  <c r="Q9" i="1"/>
  <c r="U9" i="1"/>
  <c r="R18" i="1"/>
  <c r="V18" i="1"/>
  <c r="S27" i="1"/>
  <c r="W27" i="1"/>
  <c r="T36" i="1"/>
  <c r="Q10" i="1"/>
  <c r="U10" i="1"/>
  <c r="R19" i="1"/>
  <c r="V19" i="1"/>
  <c r="S28" i="1"/>
  <c r="W28" i="1"/>
  <c r="T37" i="1"/>
  <c r="Q11" i="1"/>
  <c r="U11" i="1"/>
  <c r="R20" i="1"/>
  <c r="V20" i="1"/>
  <c r="S29" i="1"/>
  <c r="W29" i="1"/>
  <c r="T38" i="1"/>
  <c r="Q12" i="1"/>
  <c r="U12" i="1"/>
  <c r="R21" i="1"/>
  <c r="V21" i="1"/>
  <c r="S30" i="1"/>
  <c r="W30" i="1"/>
  <c r="T39" i="1"/>
  <c r="N10" i="1"/>
  <c r="K19" i="1"/>
  <c r="O19" i="1"/>
  <c r="L28" i="1"/>
  <c r="I37" i="1"/>
  <c r="M37" i="1"/>
  <c r="J11" i="1"/>
  <c r="N11" i="1"/>
  <c r="K20" i="1"/>
  <c r="O20" i="1"/>
  <c r="L29" i="1"/>
  <c r="I38" i="1"/>
  <c r="M38" i="1"/>
  <c r="J12" i="1"/>
  <c r="N12" i="1"/>
  <c r="K21" i="1"/>
  <c r="O21" i="1"/>
  <c r="L30" i="1"/>
  <c r="I39" i="1"/>
  <c r="M39" i="1"/>
  <c r="R7" i="1"/>
  <c r="V7" i="1"/>
  <c r="S16" i="1"/>
  <c r="W16" i="1"/>
  <c r="T25" i="1"/>
  <c r="Q34" i="1"/>
  <c r="U34" i="1"/>
  <c r="R8" i="1"/>
  <c r="V8" i="1"/>
  <c r="S17" i="1"/>
  <c r="W17" i="1"/>
  <c r="T26" i="1"/>
  <c r="Q35" i="1"/>
  <c r="U35" i="1"/>
  <c r="R9" i="1"/>
  <c r="V9" i="1"/>
  <c r="S18" i="1"/>
  <c r="W18" i="1"/>
  <c r="T27" i="1"/>
  <c r="Q36" i="1"/>
  <c r="U36" i="1"/>
  <c r="R10" i="1"/>
  <c r="V10" i="1"/>
  <c r="S19" i="1"/>
  <c r="W19" i="1"/>
  <c r="T28" i="1"/>
  <c r="Q37" i="1"/>
  <c r="U37" i="1"/>
  <c r="R11" i="1"/>
  <c r="V11" i="1"/>
  <c r="S20" i="1"/>
  <c r="W20" i="1"/>
  <c r="T29" i="1"/>
  <c r="Q38" i="1"/>
  <c r="U38" i="1"/>
  <c r="R12" i="1"/>
  <c r="V12" i="1"/>
  <c r="S21" i="1"/>
  <c r="W21" i="1"/>
  <c r="T30" i="1"/>
  <c r="Q39" i="1"/>
  <c r="V39" i="1"/>
  <c r="U39" i="1"/>
</calcChain>
</file>

<file path=xl/sharedStrings.xml><?xml version="1.0" encoding="utf-8"?>
<sst xmlns="http://schemas.openxmlformats.org/spreadsheetml/2006/main" count="100" uniqueCount="21">
  <si>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</si>
  <si>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</si>
  <si>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</si>
  <si>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</si>
  <si>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</si>
  <si>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</si>
  <si>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</si>
  <si>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</si>
  <si>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</si>
  <si>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August</t>
  </si>
  <si>
    <t>November</t>
  </si>
  <si>
    <t>December</t>
  </si>
  <si>
    <t>S</t>
  </si>
  <si>
    <t>M</t>
  </si>
  <si>
    <t>T</t>
  </si>
  <si>
    <t>W</t>
  </si>
  <si>
    <t>F</t>
  </si>
  <si>
    <t>Pay Period End Date</t>
  </si>
  <si>
    <t xml:space="preserve">Pay date </t>
  </si>
  <si>
    <t>PAYROLL CALENDAR FOR SUB POOL</t>
  </si>
  <si>
    <t>Banking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</si>
</sst>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20">
    <xf numFmtId="0" fontId="0" fillId="0" borderId="0" xfId="0"/>
    <xf numFmtId="0" fontId="6" fillId="0" borderId="0" xfId="0" applyFont="1"/>
    <xf numFmtId="0" fontId="7" fillId="0" borderId="0" xfId="0" applyFont="1"/>
    <xf numFmtId="1" fontId="3" fillId="0" borderId="0" xfId="1" applyFont="1">
      <alignment horizontal="center" vertical="center"/>
    </xf>
    <xf numFmtId="1" fontId="3" fillId="0" borderId="0" xfId="1" applyFont="1" applyAlignment="1">
      <alignment horizontal="left" vertical="center"/>
    </xf>
    <xf numFmtId="0" fontId="7" fillId="0" borderId="1" xfId="8" applyFont="1" applyBorder="1">
      <alignment horizontal="center"/>
    </xf>
    <xf numFmtId="164" fontId="7" fillId="0" borderId="1" xfId="7" applyFont="1" applyBorder="1">
      <alignment horizontal="right"/>
    </xf>
    <xf numFmtId="0" fontId="10" fillId="0" borderId="0" xfId="0" applyFont="1"/>
    <xf numFmtId="0" fontId="10" fillId="0" borderId="1" xfId="8" applyFont="1" applyBorder="1">
      <alignment horizontal="center"/>
    </xf>
    <xf numFmtId="1" fontId="7" fillId="0" borderId="0" xfId="1" applyFont="1" applyAlignment="1">
      <alignment horizontal="left" vertical="center"/>
    </xf>
    <xf numFmtId="164" fontId="7" fillId="0" borderId="1" xfId="7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10" fillId="0" borderId="1" xfId="7" applyFont="1" applyBorder="1" applyAlignment="1">
      <alignment horizontal="center"/>
    </xf>
    <xf numFmtId="0" fontId="10" fillId="0" borderId="0" xfId="0" applyFont="1" applyAlignment="1">
      <alignment horizontal="center"/>
    </xf>
    <xf numFmtId="1" fontId="3" fillId="0" borderId="0" xfId="1" applyFont="1">
      <alignment horizontal="center" vertical="center"/>
    </xf>
    <xf numFmtId="0" fontId="8" fillId="2" borderId="1" xfId="2" applyFont="1">
      <alignment horizontal="center" vertical="center"/>
    </xf>
    <xf numFmtId="0" fontId="9" fillId="2" borderId="1" xfId="2" applyFont="1">
      <alignment horizontal="center" vertical="center"/>
    </xf>
    <xf numFmtId="0" fontId="7" fillId="3" borderId="0" xfId="0" applyFont="1" applyFill="1"/>
    <xf numFmtId="164" fontId="7" fillId="3" borderId="1" xfId="7" applyFont="1" applyFill="1" applyBorder="1" applyAlignment="1">
      <alignment horizontal="center"/>
    </xf>
    <xf numFmtId="164" fontId="10" fillId="3" borderId="1" xfId="7" applyFont="1" applyFill="1" applyBorder="1" applyAlignment="1">
      <alignment horizontal="center"/>
    </xf>
  </cellXfs>
  <cellStyles count="9">
    <cellStyle name="Day" xfId="7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8</xdr:row>
      <xdr:rowOff>1</xdr:rowOff>
    </xdr:from>
    <xdr:to>
      <xdr:col>1</xdr:col>
      <xdr:colOff>454024</xdr:colOff>
      <xdr:row>9</xdr:row>
      <xdr:rowOff>16933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8217" y="2810934"/>
          <a:ext cx="447674" cy="33866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57150</xdr:colOff>
      <xdr:row>2</xdr:row>
      <xdr:rowOff>9525</xdr:rowOff>
    </xdr:from>
    <xdr:to>
      <xdr:col>10</xdr:col>
      <xdr:colOff>409574</xdr:colOff>
      <xdr:row>2</xdr:row>
      <xdr:rowOff>314325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200650" y="771525"/>
          <a:ext cx="352424" cy="3048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21167</xdr:colOff>
      <xdr:row>10</xdr:row>
      <xdr:rowOff>9526</xdr:rowOff>
    </xdr:from>
    <xdr:to>
      <xdr:col>2</xdr:col>
      <xdr:colOff>468841</xdr:colOff>
      <xdr:row>11</xdr:row>
      <xdr:rowOff>19051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104900" y="3463926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20</xdr:col>
      <xdr:colOff>38100</xdr:colOff>
      <xdr:row>7</xdr:row>
      <xdr:rowOff>9525</xdr:rowOff>
    </xdr:from>
    <xdr:to>
      <xdr:col>20</xdr:col>
      <xdr:colOff>485774</xdr:colOff>
      <xdr:row>8</xdr:row>
      <xdr:rowOff>19050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0875433" y="2498725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46567</xdr:colOff>
      <xdr:row>9</xdr:row>
      <xdr:rowOff>10583</xdr:rowOff>
    </xdr:from>
    <xdr:to>
      <xdr:col>13</xdr:col>
      <xdr:colOff>494241</xdr:colOff>
      <xdr:row>10</xdr:row>
      <xdr:rowOff>20108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090834" y="3143250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64558</xdr:colOff>
      <xdr:row>6</xdr:row>
      <xdr:rowOff>297391</xdr:rowOff>
    </xdr:from>
    <xdr:to>
      <xdr:col>12</xdr:col>
      <xdr:colOff>512232</xdr:colOff>
      <xdr:row>7</xdr:row>
      <xdr:rowOff>306917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566958" y="2464858"/>
          <a:ext cx="447674" cy="33125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70908</xdr:colOff>
      <xdr:row>17</xdr:row>
      <xdr:rowOff>313267</xdr:rowOff>
    </xdr:from>
    <xdr:to>
      <xdr:col>21</xdr:col>
      <xdr:colOff>518582</xdr:colOff>
      <xdr:row>19</xdr:row>
      <xdr:rowOff>8467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1450108" y="6019800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106892</xdr:colOff>
      <xdr:row>15</xdr:row>
      <xdr:rowOff>287866</xdr:rowOff>
    </xdr:from>
    <xdr:to>
      <xdr:col>22</xdr:col>
      <xdr:colOff>12699</xdr:colOff>
      <xdr:row>16</xdr:row>
      <xdr:rowOff>297391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1486092" y="5350933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64559</xdr:colOff>
      <xdr:row>18</xdr:row>
      <xdr:rowOff>10583</xdr:rowOff>
    </xdr:from>
    <xdr:to>
      <xdr:col>11</xdr:col>
      <xdr:colOff>512233</xdr:colOff>
      <xdr:row>19</xdr:row>
      <xdr:rowOff>20108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25092" y="6038850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53975</xdr:colOff>
      <xdr:row>16</xdr:row>
      <xdr:rowOff>16934</xdr:rowOff>
    </xdr:from>
    <xdr:to>
      <xdr:col>10</xdr:col>
      <xdr:colOff>501649</xdr:colOff>
      <xdr:row>17</xdr:row>
      <xdr:rowOff>33867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5472642" y="5401734"/>
          <a:ext cx="447674" cy="338666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10582</xdr:colOff>
      <xdr:row>19</xdr:row>
      <xdr:rowOff>17992</xdr:rowOff>
    </xdr:from>
    <xdr:to>
      <xdr:col>1</xdr:col>
      <xdr:colOff>458256</xdr:colOff>
      <xdr:row>20</xdr:row>
      <xdr:rowOff>27517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552449" y="6367992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47625</xdr:colOff>
      <xdr:row>15</xdr:row>
      <xdr:rowOff>304800</xdr:rowOff>
    </xdr:from>
    <xdr:to>
      <xdr:col>5</xdr:col>
      <xdr:colOff>495299</xdr:colOff>
      <xdr:row>17</xdr:row>
      <xdr:rowOff>0</xdr:rowOff>
    </xdr:to>
    <xdr:sp macro="" textlink="">
      <xdr:nvSpPr>
        <xdr:cNvPr id="101" name="Oval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2619375" y="52863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21167</xdr:colOff>
      <xdr:row>9</xdr:row>
      <xdr:rowOff>3174</xdr:rowOff>
    </xdr:from>
    <xdr:to>
      <xdr:col>21</xdr:col>
      <xdr:colOff>468841</xdr:colOff>
      <xdr:row>10</xdr:row>
      <xdr:rowOff>12699</xdr:rowOff>
    </xdr:to>
    <xdr:sp macro="" textlink="">
      <xdr:nvSpPr>
        <xdr:cNvPr id="102" name="Oval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1400367" y="3135841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47625</xdr:colOff>
      <xdr:row>24</xdr:row>
      <xdr:rowOff>304800</xdr:rowOff>
    </xdr:from>
    <xdr:to>
      <xdr:col>5</xdr:col>
      <xdr:colOff>495299</xdr:colOff>
      <xdr:row>26</xdr:row>
      <xdr:rowOff>0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2619375" y="8115300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62442</xdr:colOff>
      <xdr:row>26</xdr:row>
      <xdr:rowOff>306917</xdr:rowOff>
    </xdr:from>
    <xdr:to>
      <xdr:col>12</xdr:col>
      <xdr:colOff>510116</xdr:colOff>
      <xdr:row>27</xdr:row>
      <xdr:rowOff>316441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564842" y="8909050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28576</xdr:colOff>
      <xdr:row>25</xdr:row>
      <xdr:rowOff>9525</xdr:rowOff>
    </xdr:from>
    <xdr:to>
      <xdr:col>11</xdr:col>
      <xdr:colOff>476250</xdr:colOff>
      <xdr:row>26</xdr:row>
      <xdr:rowOff>19051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5989109" y="8289925"/>
          <a:ext cx="447674" cy="331259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2116</xdr:colOff>
      <xdr:row>28</xdr:row>
      <xdr:rowOff>0</xdr:rowOff>
    </xdr:from>
    <xdr:to>
      <xdr:col>1</xdr:col>
      <xdr:colOff>449790</xdr:colOff>
      <xdr:row>29</xdr:row>
      <xdr:rowOff>16934</xdr:rowOff>
    </xdr:to>
    <xdr:sp macro="" textlink="">
      <xdr:nvSpPr>
        <xdr:cNvPr id="107" name="Oval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3983" y="9245600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47624</xdr:colOff>
      <xdr:row>25</xdr:row>
      <xdr:rowOff>9525</xdr:rowOff>
    </xdr:from>
    <xdr:to>
      <xdr:col>21</xdr:col>
      <xdr:colOff>495298</xdr:colOff>
      <xdr:row>26</xdr:row>
      <xdr:rowOff>19050</xdr:rowOff>
    </xdr:to>
    <xdr:sp macro="" textlink="">
      <xdr:nvSpPr>
        <xdr:cNvPr id="108" name="Oval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11426824" y="8289925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5291</xdr:colOff>
      <xdr:row>35</xdr:row>
      <xdr:rowOff>0</xdr:rowOff>
    </xdr:from>
    <xdr:to>
      <xdr:col>1</xdr:col>
      <xdr:colOff>452965</xdr:colOff>
      <xdr:row>36</xdr:row>
      <xdr:rowOff>9524</xdr:rowOff>
    </xdr:to>
    <xdr:sp macro="" textlink="">
      <xdr:nvSpPr>
        <xdr:cNvPr id="110" name="Oval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7158" y="11497733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30692</xdr:colOff>
      <xdr:row>36</xdr:row>
      <xdr:rowOff>313267</xdr:rowOff>
    </xdr:from>
    <xdr:to>
      <xdr:col>2</xdr:col>
      <xdr:colOff>478366</xdr:colOff>
      <xdr:row>38</xdr:row>
      <xdr:rowOff>1059</xdr:rowOff>
    </xdr:to>
    <xdr:sp macro="" textlink="">
      <xdr:nvSpPr>
        <xdr:cNvPr id="111" name="Oval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114425" y="12132734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104775</xdr:colOff>
      <xdr:row>33</xdr:row>
      <xdr:rowOff>297391</xdr:rowOff>
    </xdr:from>
    <xdr:to>
      <xdr:col>13</xdr:col>
      <xdr:colOff>10582</xdr:colOff>
      <xdr:row>34</xdr:row>
      <xdr:rowOff>313266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607175" y="11151658"/>
          <a:ext cx="447674" cy="33760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29633</xdr:colOff>
      <xdr:row>35</xdr:row>
      <xdr:rowOff>296332</xdr:rowOff>
    </xdr:from>
    <xdr:to>
      <xdr:col>13</xdr:col>
      <xdr:colOff>477307</xdr:colOff>
      <xdr:row>36</xdr:row>
      <xdr:rowOff>313265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073900" y="11794065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73025</xdr:colOff>
      <xdr:row>33</xdr:row>
      <xdr:rowOff>313266</xdr:rowOff>
    </xdr:from>
    <xdr:to>
      <xdr:col>21</xdr:col>
      <xdr:colOff>520699</xdr:colOff>
      <xdr:row>35</xdr:row>
      <xdr:rowOff>1058</xdr:rowOff>
    </xdr:to>
    <xdr:sp macro="" textlink="">
      <xdr:nvSpPr>
        <xdr:cNvPr id="114" name="Oval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1452225" y="11167533"/>
          <a:ext cx="447674" cy="33125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21</xdr:col>
      <xdr:colOff>38100</xdr:colOff>
      <xdr:row>35</xdr:row>
      <xdr:rowOff>287867</xdr:rowOff>
    </xdr:from>
    <xdr:to>
      <xdr:col>21</xdr:col>
      <xdr:colOff>485774</xdr:colOff>
      <xdr:row>36</xdr:row>
      <xdr:rowOff>304800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1417300" y="11785600"/>
          <a:ext cx="447674" cy="33866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12699</xdr:colOff>
      <xdr:row>7</xdr:row>
      <xdr:rowOff>297391</xdr:rowOff>
    </xdr:from>
    <xdr:to>
      <xdr:col>6</xdr:col>
      <xdr:colOff>68791</xdr:colOff>
      <xdr:row>9</xdr:row>
      <xdr:rowOff>23283</xdr:rowOff>
    </xdr:to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2722032" y="2786591"/>
          <a:ext cx="597959" cy="369359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0</xdr:col>
      <xdr:colOff>466725</xdr:colOff>
      <xdr:row>2</xdr:row>
      <xdr:rowOff>38100</xdr:rowOff>
    </xdr:from>
    <xdr:to>
      <xdr:col>1</xdr:col>
      <xdr:colOff>495300</xdr:colOff>
      <xdr:row>3</xdr:row>
      <xdr:rowOff>19050</xdr:rowOff>
    </xdr:to>
    <xdr:sp macro="" textlink="">
      <xdr:nvSpPr>
        <xdr:cNvPr id="174" name="Rectang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466725" y="800100"/>
          <a:ext cx="542925" cy="361950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0</xdr:col>
      <xdr:colOff>524933</xdr:colOff>
      <xdr:row>10</xdr:row>
      <xdr:rowOff>296334</xdr:rowOff>
    </xdr:from>
    <xdr:to>
      <xdr:col>2</xdr:col>
      <xdr:colOff>17992</xdr:colOff>
      <xdr:row>12</xdr:row>
      <xdr:rowOff>26459</xdr:rowOff>
    </xdr:to>
    <xdr:sp macro="" textlink="">
      <xdr:nvSpPr>
        <xdr:cNvPr id="175" name="Rectang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24933" y="3750734"/>
          <a:ext cx="576792" cy="373592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495300</xdr:colOff>
      <xdr:row>7</xdr:row>
      <xdr:rowOff>313266</xdr:rowOff>
    </xdr:from>
    <xdr:to>
      <xdr:col>11</xdr:col>
      <xdr:colOff>9525</xdr:colOff>
      <xdr:row>9</xdr:row>
      <xdr:rowOff>39158</xdr:rowOff>
    </xdr:to>
    <xdr:sp macro="" textlink="">
      <xdr:nvSpPr>
        <xdr:cNvPr id="176" name="Rectangl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372100" y="2802466"/>
          <a:ext cx="597958" cy="369359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17</xdr:col>
      <xdr:colOff>521757</xdr:colOff>
      <xdr:row>7</xdr:row>
      <xdr:rowOff>294217</xdr:rowOff>
    </xdr:from>
    <xdr:to>
      <xdr:col>19</xdr:col>
      <xdr:colOff>35981</xdr:colOff>
      <xdr:row>9</xdr:row>
      <xdr:rowOff>27517</xdr:rowOff>
    </xdr:to>
    <xdr:sp macro="" textlink="">
      <xdr:nvSpPr>
        <xdr:cNvPr id="178" name="Rectang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9733490" y="2783417"/>
          <a:ext cx="597958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19</xdr:col>
      <xdr:colOff>519640</xdr:colOff>
      <xdr:row>9</xdr:row>
      <xdr:rowOff>293159</xdr:rowOff>
    </xdr:from>
    <xdr:to>
      <xdr:col>21</xdr:col>
      <xdr:colOff>6349</xdr:colOff>
      <xdr:row>11</xdr:row>
      <xdr:rowOff>26459</xdr:rowOff>
    </xdr:to>
    <xdr:sp macro="" textlink="">
      <xdr:nvSpPr>
        <xdr:cNvPr id="179" name="Rectangl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0815107" y="3425826"/>
          <a:ext cx="570442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20</xdr:col>
      <xdr:colOff>17992</xdr:colOff>
      <xdr:row>18</xdr:row>
      <xdr:rowOff>286808</xdr:rowOff>
    </xdr:from>
    <xdr:to>
      <xdr:col>21</xdr:col>
      <xdr:colOff>46567</xdr:colOff>
      <xdr:row>20</xdr:row>
      <xdr:rowOff>20108</xdr:rowOff>
    </xdr:to>
    <xdr:sp macro="" textlink="">
      <xdr:nvSpPr>
        <xdr:cNvPr id="180" name="Rectang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10855325" y="6315075"/>
          <a:ext cx="570442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18</xdr:col>
      <xdr:colOff>503768</xdr:colOff>
      <xdr:row>16</xdr:row>
      <xdr:rowOff>294217</xdr:rowOff>
    </xdr:from>
    <xdr:to>
      <xdr:col>20</xdr:col>
      <xdr:colOff>17993</xdr:colOff>
      <xdr:row>18</xdr:row>
      <xdr:rowOff>27517</xdr:rowOff>
    </xdr:to>
    <xdr:sp macro="" textlink="">
      <xdr:nvSpPr>
        <xdr:cNvPr id="182" name="Rectangl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0257368" y="5679017"/>
          <a:ext cx="597958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9</xdr:col>
      <xdr:colOff>524933</xdr:colOff>
      <xdr:row>18</xdr:row>
      <xdr:rowOff>286809</xdr:rowOff>
    </xdr:from>
    <xdr:to>
      <xdr:col>11</xdr:col>
      <xdr:colOff>11642</xdr:colOff>
      <xdr:row>20</xdr:row>
      <xdr:rowOff>20110</xdr:rowOff>
    </xdr:to>
    <xdr:sp macro="" textlink="">
      <xdr:nvSpPr>
        <xdr:cNvPr id="183" name="Rectangl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01733" y="6315076"/>
          <a:ext cx="570442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12</xdr:col>
      <xdr:colOff>525993</xdr:colOff>
      <xdr:row>15</xdr:row>
      <xdr:rowOff>251884</xdr:rowOff>
    </xdr:from>
    <xdr:to>
      <xdr:col>14</xdr:col>
      <xdr:colOff>12701</xdr:colOff>
      <xdr:row>16</xdr:row>
      <xdr:rowOff>306918</xdr:rowOff>
    </xdr:to>
    <xdr:sp macro="" textlink="">
      <xdr:nvSpPr>
        <xdr:cNvPr id="184" name="Rectang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7028393" y="5314951"/>
          <a:ext cx="570441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19050</xdr:colOff>
      <xdr:row>16</xdr:row>
      <xdr:rowOff>318559</xdr:rowOff>
    </xdr:from>
    <xdr:to>
      <xdr:col>6</xdr:col>
      <xdr:colOff>47625</xdr:colOff>
      <xdr:row>18</xdr:row>
      <xdr:rowOff>51859</xdr:rowOff>
    </xdr:to>
    <xdr:sp macro="" textlink="">
      <xdr:nvSpPr>
        <xdr:cNvPr id="185" name="Rectangl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2728383" y="5703359"/>
          <a:ext cx="570442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5</xdr:col>
      <xdr:colOff>528108</xdr:colOff>
      <xdr:row>18</xdr:row>
      <xdr:rowOff>285750</xdr:rowOff>
    </xdr:from>
    <xdr:to>
      <xdr:col>7</xdr:col>
      <xdr:colOff>42332</xdr:colOff>
      <xdr:row>20</xdr:row>
      <xdr:rowOff>19050</xdr:rowOff>
    </xdr:to>
    <xdr:sp macro="" textlink="">
      <xdr:nvSpPr>
        <xdr:cNvPr id="186" name="Rectangl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3237441" y="6314017"/>
          <a:ext cx="597958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0</xdr:col>
      <xdr:colOff>0</xdr:colOff>
      <xdr:row>28</xdr:row>
      <xdr:rowOff>305858</xdr:rowOff>
    </xdr:from>
    <xdr:to>
      <xdr:col>1</xdr:col>
      <xdr:colOff>56091</xdr:colOff>
      <xdr:row>30</xdr:row>
      <xdr:rowOff>31749</xdr:rowOff>
    </xdr:to>
    <xdr:sp macro="" textlink="">
      <xdr:nvSpPr>
        <xdr:cNvPr id="187" name="Rectangl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0" y="9551458"/>
          <a:ext cx="597958" cy="369358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4</xdr:col>
      <xdr:colOff>451908</xdr:colOff>
      <xdr:row>26</xdr:row>
      <xdr:rowOff>0</xdr:rowOff>
    </xdr:from>
    <xdr:to>
      <xdr:col>5</xdr:col>
      <xdr:colOff>508001</xdr:colOff>
      <xdr:row>27</xdr:row>
      <xdr:rowOff>47625</xdr:rowOff>
    </xdr:to>
    <xdr:sp macro="" textlink="">
      <xdr:nvSpPr>
        <xdr:cNvPr id="188" name="Rectangl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2619375" y="8602133"/>
          <a:ext cx="597959" cy="369359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10</xdr:col>
      <xdr:colOff>513290</xdr:colOff>
      <xdr:row>27</xdr:row>
      <xdr:rowOff>286808</xdr:rowOff>
    </xdr:from>
    <xdr:to>
      <xdr:col>12</xdr:col>
      <xdr:colOff>27516</xdr:colOff>
      <xdr:row>29</xdr:row>
      <xdr:rowOff>20109</xdr:rowOff>
    </xdr:to>
    <xdr:sp macro="" textlink="">
      <xdr:nvSpPr>
        <xdr:cNvPr id="189" name="Rectangl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931957" y="9210675"/>
          <a:ext cx="597959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8</xdr:col>
      <xdr:colOff>519642</xdr:colOff>
      <xdr:row>25</xdr:row>
      <xdr:rowOff>303742</xdr:rowOff>
    </xdr:from>
    <xdr:to>
      <xdr:col>10</xdr:col>
      <xdr:colOff>33866</xdr:colOff>
      <xdr:row>27</xdr:row>
      <xdr:rowOff>37042</xdr:rowOff>
    </xdr:to>
    <xdr:sp macro="" textlink="">
      <xdr:nvSpPr>
        <xdr:cNvPr id="190" name="Rectangl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4854575" y="8584142"/>
          <a:ext cx="597958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20</xdr:col>
      <xdr:colOff>529167</xdr:colOff>
      <xdr:row>27</xdr:row>
      <xdr:rowOff>294216</xdr:rowOff>
    </xdr:from>
    <xdr:to>
      <xdr:col>22</xdr:col>
      <xdr:colOff>43391</xdr:colOff>
      <xdr:row>29</xdr:row>
      <xdr:rowOff>27516</xdr:rowOff>
    </xdr:to>
    <xdr:sp macro="" textlink="">
      <xdr:nvSpPr>
        <xdr:cNvPr id="191" name="Rectangl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11366500" y="9218083"/>
          <a:ext cx="597958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19</xdr:col>
      <xdr:colOff>513291</xdr:colOff>
      <xdr:row>26</xdr:row>
      <xdr:rowOff>5292</xdr:rowOff>
    </xdr:from>
    <xdr:to>
      <xdr:col>21</xdr:col>
      <xdr:colOff>27517</xdr:colOff>
      <xdr:row>27</xdr:row>
      <xdr:rowOff>60325</xdr:rowOff>
    </xdr:to>
    <xdr:sp macro="" textlink="">
      <xdr:nvSpPr>
        <xdr:cNvPr id="192" name="Rectangl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10808758" y="8607425"/>
          <a:ext cx="597959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22</xdr:col>
      <xdr:colOff>13758</xdr:colOff>
      <xdr:row>36</xdr:row>
      <xdr:rowOff>319616</xdr:rowOff>
    </xdr:from>
    <xdr:to>
      <xdr:col>23</xdr:col>
      <xdr:colOff>69850</xdr:colOff>
      <xdr:row>38</xdr:row>
      <xdr:rowOff>52916</xdr:rowOff>
    </xdr:to>
    <xdr:sp macro="" textlink="">
      <xdr:nvSpPr>
        <xdr:cNvPr id="193" name="Rectangl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11934825" y="12139083"/>
          <a:ext cx="597958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20</xdr:col>
      <xdr:colOff>5292</xdr:colOff>
      <xdr:row>34</xdr:row>
      <xdr:rowOff>304800</xdr:rowOff>
    </xdr:from>
    <xdr:to>
      <xdr:col>21</xdr:col>
      <xdr:colOff>61384</xdr:colOff>
      <xdr:row>36</xdr:row>
      <xdr:rowOff>30692</xdr:rowOff>
    </xdr:to>
    <xdr:sp macro="" textlink="">
      <xdr:nvSpPr>
        <xdr:cNvPr id="194" name="Rectangl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10842625" y="11480800"/>
          <a:ext cx="597959" cy="369359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10</xdr:col>
      <xdr:colOff>530225</xdr:colOff>
      <xdr:row>36</xdr:row>
      <xdr:rowOff>303742</xdr:rowOff>
    </xdr:from>
    <xdr:to>
      <xdr:col>12</xdr:col>
      <xdr:colOff>44451</xdr:colOff>
      <xdr:row>38</xdr:row>
      <xdr:rowOff>37042</xdr:rowOff>
    </xdr:to>
    <xdr:sp macro="" textlink="">
      <xdr:nvSpPr>
        <xdr:cNvPr id="196" name="Rectangl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948892" y="12123209"/>
          <a:ext cx="597959" cy="376766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10</xdr:col>
      <xdr:colOff>9524</xdr:colOff>
      <xdr:row>34</xdr:row>
      <xdr:rowOff>269875</xdr:rowOff>
    </xdr:from>
    <xdr:to>
      <xdr:col>11</xdr:col>
      <xdr:colOff>38100</xdr:colOff>
      <xdr:row>36</xdr:row>
      <xdr:rowOff>3175</xdr:rowOff>
    </xdr:to>
    <xdr:sp macro="" textlink="">
      <xdr:nvSpPr>
        <xdr:cNvPr id="197" name="Rectangl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28191" y="11445875"/>
          <a:ext cx="570442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1</xdr:col>
      <xdr:colOff>24341</xdr:colOff>
      <xdr:row>37</xdr:row>
      <xdr:rowOff>300566</xdr:rowOff>
    </xdr:from>
    <xdr:to>
      <xdr:col>2</xdr:col>
      <xdr:colOff>41276</xdr:colOff>
      <xdr:row>39</xdr:row>
      <xdr:rowOff>29633</xdr:rowOff>
    </xdr:to>
    <xdr:sp macro="" textlink="">
      <xdr:nvSpPr>
        <xdr:cNvPr id="198" name="Rectangl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66208" y="12441766"/>
          <a:ext cx="558801" cy="372534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4</xdr:col>
      <xdr:colOff>521758</xdr:colOff>
      <xdr:row>34</xdr:row>
      <xdr:rowOff>285750</xdr:rowOff>
    </xdr:from>
    <xdr:to>
      <xdr:col>6</xdr:col>
      <xdr:colOff>35983</xdr:colOff>
      <xdr:row>36</xdr:row>
      <xdr:rowOff>19050</xdr:rowOff>
    </xdr:to>
    <xdr:sp macro="" textlink="">
      <xdr:nvSpPr>
        <xdr:cNvPr id="199" name="Rectangl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2689225" y="11461750"/>
          <a:ext cx="597958" cy="376767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  <xdr:twoCellAnchor>
    <xdr:from>
      <xdr:col>21</xdr:col>
      <xdr:colOff>38100</xdr:colOff>
      <xdr:row>27</xdr:row>
      <xdr:rowOff>0</xdr:rowOff>
    </xdr:from>
    <xdr:to>
      <xdr:col>21</xdr:col>
      <xdr:colOff>485774</xdr:colOff>
      <xdr:row>28</xdr:row>
      <xdr:rowOff>9525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10839450" y="8753475"/>
          <a:ext cx="447674" cy="32385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537632</xdr:colOff>
      <xdr:row>9</xdr:row>
      <xdr:rowOff>279399</xdr:rowOff>
    </xdr:from>
    <xdr:to>
      <xdr:col>10</xdr:col>
      <xdr:colOff>12699</xdr:colOff>
      <xdr:row>11</xdr:row>
      <xdr:rowOff>9524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4872565" y="3412066"/>
          <a:ext cx="558801" cy="373591"/>
        </a:xfrm>
        <a:prstGeom prst="rect">
          <a:avLst/>
        </a:prstGeom>
        <a:noFill/>
        <a:ln w="635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b"/>
        <a:lstStyle/>
        <a:p>
          <a:pPr algn="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W39"/>
  <sheetViews>
    <sheetView showGridLines="0" tabSelected="1" zoomScale="75" zoomScaleNormal="75" workbookViewId="0">
      <selection activeCell="M37" sqref="M37"/>
    </sheetView>
  </sheetViews>
  <sheetFormatPr defaultColWidth="9.140625" defaultRowHeight="18" customHeight="1" x14ac:dyDescent="0.35"/>
  <cols>
    <col min="1" max="23" width="7.7109375" style="1" customWidth="1"/>
    <col min="24" max="16384" width="9.140625" style="1"/>
  </cols>
  <sheetData>
    <row r="1" spans="1:23" s="2" customFormat="1" ht="30" customHeight="1" x14ac:dyDescent="0.4">
      <c r="H1" s="14">
        <v>2022</v>
      </c>
      <c r="I1" s="14"/>
      <c r="J1" s="4" t="s">
        <v>19</v>
      </c>
    </row>
    <row r="2" spans="1:23" s="2" customFormat="1" ht="30" customHeight="1" x14ac:dyDescent="0.4">
      <c r="H2" s="3"/>
      <c r="I2" s="3"/>
      <c r="J2" s="4"/>
    </row>
    <row r="3" spans="1:23" s="2" customFormat="1" ht="30" customHeight="1" x14ac:dyDescent="0.4">
      <c r="C3" s="2" t="s">
        <v>17</v>
      </c>
      <c r="H3" s="3"/>
      <c r="I3" s="3"/>
      <c r="L3" s="9" t="s">
        <v>18</v>
      </c>
      <c r="Q3" s="17"/>
      <c r="R3" s="2" t="s">
        <v>20</v>
      </c>
    </row>
    <row r="4" spans="1:23" s="2" customFormat="1" ht="30" customHeight="1" x14ac:dyDescent="0.4">
      <c r="H4" s="3"/>
      <c r="I4" s="3"/>
      <c r="J4" s="4"/>
    </row>
    <row r="5" spans="1:23" ht="24.95" customHeight="1" x14ac:dyDescent="0.4">
      <c r="A5" s="15" t="s">
        <v>0</v>
      </c>
      <c r="B5" s="15"/>
      <c r="C5" s="15"/>
      <c r="D5" s="15"/>
      <c r="E5" s="15"/>
      <c r="F5" s="15"/>
      <c r="G5" s="15"/>
      <c r="H5" s="2"/>
      <c r="I5" s="15" t="s">
        <v>1</v>
      </c>
      <c r="J5" s="15"/>
      <c r="K5" s="15"/>
      <c r="L5" s="15"/>
      <c r="M5" s="15"/>
      <c r="N5" s="15"/>
      <c r="O5" s="15"/>
      <c r="P5" s="2"/>
      <c r="Q5" s="15" t="s">
        <v>2</v>
      </c>
      <c r="R5" s="15"/>
      <c r="S5" s="15"/>
      <c r="T5" s="15"/>
      <c r="U5" s="15"/>
      <c r="V5" s="15"/>
      <c r="W5" s="15"/>
    </row>
    <row r="6" spans="1:23" ht="24.95" customHeight="1" x14ac:dyDescent="0.4">
      <c r="A6" s="5" t="s">
        <v>12</v>
      </c>
      <c r="B6" s="5" t="s">
        <v>13</v>
      </c>
      <c r="C6" s="5" t="s">
        <v>14</v>
      </c>
      <c r="D6" s="5" t="s">
        <v>15</v>
      </c>
      <c r="E6" s="5" t="s">
        <v>14</v>
      </c>
      <c r="F6" s="5" t="s">
        <v>16</v>
      </c>
      <c r="G6" s="5" t="s">
        <v>12</v>
      </c>
      <c r="H6" s="2"/>
      <c r="I6" s="5" t="s">
        <v>12</v>
      </c>
      <c r="J6" s="5" t="s">
        <v>13</v>
      </c>
      <c r="K6" s="5" t="s">
        <v>14</v>
      </c>
      <c r="L6" s="5" t="s">
        <v>15</v>
      </c>
      <c r="M6" s="5" t="s">
        <v>14</v>
      </c>
      <c r="N6" s="5" t="s">
        <v>16</v>
      </c>
      <c r="O6" s="5" t="s">
        <v>12</v>
      </c>
      <c r="P6" s="2"/>
      <c r="Q6" s="5" t="s">
        <v>12</v>
      </c>
      <c r="R6" s="5" t="s">
        <v>13</v>
      </c>
      <c r="S6" s="5" t="s">
        <v>14</v>
      </c>
      <c r="T6" s="5" t="s">
        <v>15</v>
      </c>
      <c r="U6" s="5" t="s">
        <v>14</v>
      </c>
      <c r="V6" s="5" t="s">
        <v>16</v>
      </c>
      <c r="W6" s="5" t="s">
        <v>12</v>
      </c>
    </row>
    <row r="7" spans="1:23" ht="24.95" customHeight="1" x14ac:dyDescent="0.4">
      <c r="A7" s="10" t="str">
        <f>IF(AND(YEAR(JanSun1)=Year,MONTH(JanSun1)=1),JanSun1, "")</f>
        <v/>
      </c>
      <c r="B7" s="10" t="str">
        <f>IF(AND(YEAR(JanSun1+1)=Year,MONTH(JanSun1+1)=1),JanSun1+1, "")</f>
        <v/>
      </c>
      <c r="C7" s="10" t="str">
        <f>IF(AND(YEAR(JanSun1+2)=Year,MONTH(JanSun1+2)=1),JanSun1+2, "")</f>
        <v/>
      </c>
      <c r="D7" s="10" t="str">
        <f>IF(AND(YEAR(JanSun1+3)=Year,MONTH(JanSun1+3)=1),JanSun1+3, "")</f>
        <v/>
      </c>
      <c r="E7" s="10" t="str">
        <f>IF(AND(YEAR(JanSun1+4)=Year,MONTH(JanSun1+4)=1),JanSun1+4, "")</f>
        <v/>
      </c>
      <c r="F7" s="10" t="str">
        <f>IF(AND(YEAR(JanSun1+5)=Year,MONTH(JanSun1+5)=1),JanSun1+5, "")</f>
        <v/>
      </c>
      <c r="G7" s="10">
        <f>IF(AND(YEAR(JanSun1+6)=Year,MONTH(JanSun1+6)=1),JanSun1+6, "")</f>
        <v>44562</v>
      </c>
      <c r="H7" s="11"/>
      <c r="I7" s="10" t="str">
        <f>IF(AND(YEAR(FebSun1)=Year,MONTH(FebSun1)=2),FebSun1, "")</f>
        <v/>
      </c>
      <c r="J7" s="10" t="str">
        <f>IF(AND(YEAR(FebSun1+1)=Year,MONTH(FebSun1+1)=2),FebSun1+1, "")</f>
        <v/>
      </c>
      <c r="K7" s="10">
        <f>IF(AND(YEAR(FebSun1+2)=Year,MONTH(FebSun1+2)=2),FebSun1+2, "")</f>
        <v>44593</v>
      </c>
      <c r="L7" s="10">
        <f>IF(AND(YEAR(FebSun1+3)=Year,MONTH(FebSun1+3)=2),FebSun1+3, "")</f>
        <v>44594</v>
      </c>
      <c r="M7" s="10">
        <f>IF(AND(YEAR(FebSun1+4)=Year,MONTH(FebSun1+4)=2),FebSun1+4, "")</f>
        <v>44595</v>
      </c>
      <c r="N7" s="10">
        <f>IF(AND(YEAR(FebSun1+5)=Year,MONTH(FebSun1+5)=2),FebSun1+5, "")</f>
        <v>44596</v>
      </c>
      <c r="O7" s="10">
        <f>IF(AND(YEAR(FebSun1+6)=Year,MONTH(FebSun1+6)=2),FebSun1+6, "")</f>
        <v>44597</v>
      </c>
      <c r="P7" s="11"/>
      <c r="Q7" s="10" t="str">
        <f>IF(AND(YEAR(MarSun1)=Year,MONTH(MarSun1)=3),MarSun1, "")</f>
        <v/>
      </c>
      <c r="R7" s="10" t="str">
        <f>IF(AND(YEAR(MarSun1+1)=Year,MONTH(MarSun1+1)=3),MarSun1+1, "")</f>
        <v/>
      </c>
      <c r="S7" s="10">
        <f>IF(AND(YEAR(MarSun1+2)=Year,MONTH(MarSun1+2)=3),MarSun1+2, "")</f>
        <v>44621</v>
      </c>
      <c r="T7" s="10">
        <f>IF(AND(YEAR(MarSun1+3)=Year,MONTH(MarSun1+3)=3),MarSun1+3, "")</f>
        <v>44622</v>
      </c>
      <c r="U7" s="10">
        <f>IF(AND(YEAR(MarSun1+4)=Year,MONTH(MarSun1+4)=3),MarSun1+4, "")</f>
        <v>44623</v>
      </c>
      <c r="V7" s="10">
        <f>IF(AND(YEAR(MarSun1+5)=Year,MONTH(MarSun1+5)=3),MarSun1+5, "")</f>
        <v>44624</v>
      </c>
      <c r="W7" s="10">
        <f>IF(AND(YEAR(MarSun1+6)=Year,MONTH(MarSun1+6)=3),MarSun1+6, "")</f>
        <v>44625</v>
      </c>
    </row>
    <row r="8" spans="1:23" ht="24.95" customHeight="1" x14ac:dyDescent="0.4">
      <c r="A8" s="10">
        <f>IF(AND(YEAR(JanSun1+7)=Year,MONTH(JanSun1+7)=1),JanSun1+7, "")</f>
        <v>44563</v>
      </c>
      <c r="B8" s="10">
        <f>IF(AND(YEAR(JanSun1+8)=Year,MONTH(JanSun1+8)=1),JanSun1+8, "")</f>
        <v>44564</v>
      </c>
      <c r="C8" s="10">
        <f>IF(AND(YEAR(JanSun1+9)=Year,MONTH(JanSun1+9)=1),JanSun1+9, "")</f>
        <v>44565</v>
      </c>
      <c r="D8" s="10">
        <f>IF(AND(YEAR(JanSun1+10)=Year,MONTH(JanSun1+10)=1),JanSun1+10, "")</f>
        <v>44566</v>
      </c>
      <c r="E8" s="10">
        <f>IF(AND(YEAR(JanSun1+11)=Year,MONTH(JanSun1+11)=1),JanSun1+11, "")</f>
        <v>44567</v>
      </c>
      <c r="F8" s="10">
        <f>IF(AND(YEAR(JanSun1+12)=Year,MONTH(JanSun1+12)=1),JanSun1+12, "")</f>
        <v>44568</v>
      </c>
      <c r="G8" s="10">
        <f>IF(AND(YEAR(JanSun1+13)=Year,MONTH(JanSun1+13)=1),JanSun1+13, "")</f>
        <v>44569</v>
      </c>
      <c r="H8" s="11"/>
      <c r="I8" s="10">
        <f>IF(AND(YEAR(FebSun1+7)=Year,MONTH(FebSun1+7)=2),FebSun1+7, "")</f>
        <v>44598</v>
      </c>
      <c r="J8" s="10">
        <f>IF(AND(YEAR(FebSun1+8)=Year,MONTH(FebSun1+8)=2),FebSun1+8, "")</f>
        <v>44599</v>
      </c>
      <c r="K8" s="10">
        <f>IF(AND(YEAR(FebSun1+9)=Year,MONTH(FebSun1+9)=2),FebSun1+9, "")</f>
        <v>44600</v>
      </c>
      <c r="L8" s="10">
        <f>IF(AND(YEAR(FebSun1+10)=Year,MONTH(FebSun1+10)=2),FebSun1+10, "")</f>
        <v>44601</v>
      </c>
      <c r="M8" s="10">
        <f>IF(AND(YEAR(FebSun1+11)=Year,MONTH(FebSun1+11)=2),FebSun1+11, "")</f>
        <v>44602</v>
      </c>
      <c r="N8" s="10">
        <f>IF(AND(YEAR(FebSun1+12)=Year,MONTH(FebSun1+12)=2),FebSun1+12, "")</f>
        <v>44603</v>
      </c>
      <c r="O8" s="10">
        <f>IF(AND(YEAR(FebSun1+13)=Year,MONTH(FebSun1+13)=2),FebSun1+13, "")</f>
        <v>44604</v>
      </c>
      <c r="P8" s="11"/>
      <c r="Q8" s="10">
        <f>IF(AND(YEAR(MarSun1+7)=Year,MONTH(MarSun1+7)=3),MarSun1+7, "")</f>
        <v>44626</v>
      </c>
      <c r="R8" s="10">
        <f>IF(AND(YEAR(MarSun1+8)=Year,MONTH(MarSun1+8)=3),MarSun1+8, "")</f>
        <v>44627</v>
      </c>
      <c r="S8" s="10">
        <f>IF(AND(YEAR(MarSun1+9)=Year,MONTH(MarSun1+9)=3),MarSun1+9, "")</f>
        <v>44628</v>
      </c>
      <c r="T8" s="10">
        <f>IF(AND(YEAR(MarSun1+10)=Year,MONTH(MarSun1+10)=3),MarSun1+10, "")</f>
        <v>44629</v>
      </c>
      <c r="U8" s="10">
        <f>IF(AND(YEAR(MarSun1+11)=Year,MONTH(MarSun1+11)=3),MarSun1+11, "")</f>
        <v>44630</v>
      </c>
      <c r="V8" s="10">
        <f>IF(AND(YEAR(MarSun1+12)=Year,MONTH(MarSun1+12)=3),MarSun1+12, "")</f>
        <v>44631</v>
      </c>
      <c r="W8" s="10">
        <f>IF(AND(YEAR(MarSun1+13)=Year,MONTH(MarSun1+13)=3),MarSun1+13, "")</f>
        <v>44632</v>
      </c>
    </row>
    <row r="9" spans="1:23" ht="24.95" customHeight="1" x14ac:dyDescent="0.4">
      <c r="A9" s="10">
        <f>IF(AND(YEAR(JanSun1+14)=Year,MONTH(JanSun1+14)=1),JanSun1+14, "")</f>
        <v>44570</v>
      </c>
      <c r="B9" s="10">
        <f>IF(AND(YEAR(JanSun1+15)=Year,MONTH(JanSun1+15)=1),JanSun1+15, "")</f>
        <v>44571</v>
      </c>
      <c r="C9" s="10">
        <f>IF(AND(YEAR(JanSun1+16)=Year,MONTH(JanSun1+16)=1),JanSun1+16, "")</f>
        <v>44572</v>
      </c>
      <c r="D9" s="10">
        <f>IF(AND(YEAR(JanSun1+17)=Year,MONTH(JanSun1+17)=1),JanSun1+17, "")</f>
        <v>44573</v>
      </c>
      <c r="E9" s="10">
        <f>IF(AND(YEAR(JanSun1+18)=Year,MONTH(JanSun1+18)=1),JanSun1+18, "")</f>
        <v>44574</v>
      </c>
      <c r="F9" s="10">
        <f>IF(AND(YEAR(JanSun1+19)=Year,MONTH(JanSun1+19)=1),JanSun1+19, "")</f>
        <v>44575</v>
      </c>
      <c r="G9" s="10">
        <f>IF(AND(YEAR(JanSun1+20)=Year,MONTH(JanSun1+20)=1),JanSun1+20, "")</f>
        <v>44576</v>
      </c>
      <c r="H9" s="11"/>
      <c r="I9" s="10">
        <f>IF(AND(YEAR(FebSun1+14)=Year,MONTH(FebSun1+14)=2),FebSun1+14, "")</f>
        <v>44605</v>
      </c>
      <c r="J9" s="10">
        <f>IF(AND(YEAR(FebSun1+15)=Year,MONTH(FebSun1+15)=2),FebSun1+15, "")</f>
        <v>44606</v>
      </c>
      <c r="K9" s="10">
        <f>IF(AND(YEAR(FebSun1+16)=Year,MONTH(FebSun1+16)=2),FebSun1+16, "")</f>
        <v>44607</v>
      </c>
      <c r="L9" s="10">
        <f>IF(AND(YEAR(FebSun1+17)=Year,MONTH(FebSun1+17)=2),FebSun1+17, "")</f>
        <v>44608</v>
      </c>
      <c r="M9" s="10">
        <f>IF(AND(YEAR(FebSun1+18)=Year,MONTH(FebSun1+18)=2),FebSun1+18, "")</f>
        <v>44609</v>
      </c>
      <c r="N9" s="10">
        <f>IF(AND(YEAR(FebSun1+19)=Year,MONTH(FebSun1+19)=2),FebSun1+19, "")</f>
        <v>44610</v>
      </c>
      <c r="O9" s="10">
        <f>IF(AND(YEAR(FebSun1+20)=Year,MONTH(FebSun1+20)=2),FebSun1+20, "")</f>
        <v>44611</v>
      </c>
      <c r="P9" s="11"/>
      <c r="Q9" s="10">
        <f>IF(AND(YEAR(MarSun1+14)=Year,MONTH(MarSun1+14)=3),MarSun1+14, "")</f>
        <v>44633</v>
      </c>
      <c r="R9" s="10">
        <f>IF(AND(YEAR(MarSun1+15)=Year,MONTH(MarSun1+15)=3),MarSun1+15, "")</f>
        <v>44634</v>
      </c>
      <c r="S9" s="10">
        <f>IF(AND(YEAR(MarSun1+16)=Year,MONTH(MarSun1+16)=3),MarSun1+16, "")</f>
        <v>44635</v>
      </c>
      <c r="T9" s="10">
        <f>IF(AND(YEAR(MarSun1+17)=Year,MONTH(MarSun1+17)=3),MarSun1+17, "")</f>
        <v>44636</v>
      </c>
      <c r="U9" s="10">
        <f>IF(AND(YEAR(MarSun1+18)=Year,MONTH(MarSun1+18)=3),MarSun1+18, "")</f>
        <v>44637</v>
      </c>
      <c r="V9" s="10">
        <f>IF(AND(YEAR(MarSun1+19)=Year,MONTH(MarSun1+19)=3),MarSun1+19, "")</f>
        <v>44638</v>
      </c>
      <c r="W9" s="10">
        <f>IF(AND(YEAR(MarSun1+20)=Year,MONTH(MarSun1+20)=3),MarSun1+20, "")</f>
        <v>44639</v>
      </c>
    </row>
    <row r="10" spans="1:23" ht="24.95" customHeight="1" x14ac:dyDescent="0.4">
      <c r="A10" s="10">
        <f>IF(AND(YEAR(JanSun1+21)=Year,MONTH(JanSun1+21)=1),JanSun1+21, "")</f>
        <v>44577</v>
      </c>
      <c r="B10" s="18">
        <f>IF(AND(YEAR(JanSun1+22)=Year,MONTH(JanSun1+22)=1),JanSun1+22, "")</f>
        <v>44578</v>
      </c>
      <c r="C10" s="10">
        <f>IF(AND(YEAR(JanSun1+23)=Year,MONTH(JanSun1+23)=1),JanSun1+23, "")</f>
        <v>44579</v>
      </c>
      <c r="D10" s="10">
        <f>IF(AND(YEAR(JanSun1+24)=Year,MONTH(JanSun1+24)=1),JanSun1+24, "")</f>
        <v>44580</v>
      </c>
      <c r="E10" s="10">
        <f>IF(AND(YEAR(JanSun1+25)=Year,MONTH(JanSun1+25)=1),JanSun1+25, "")</f>
        <v>44581</v>
      </c>
      <c r="F10" s="10">
        <f>IF(AND(YEAR(JanSun1+26)=Year,MONTH(JanSun1+26)=1),JanSun1+26, "")</f>
        <v>44582</v>
      </c>
      <c r="G10" s="10">
        <f>IF(AND(YEAR(JanSun1+27)=Year,MONTH(JanSun1+27)=1),JanSun1+27, "")</f>
        <v>44583</v>
      </c>
      <c r="H10" s="11"/>
      <c r="I10" s="10">
        <f>IF(AND(YEAR(FebSun1+21)=Year,MONTH(FebSun1+21)=2),FebSun1+21, "")</f>
        <v>44612</v>
      </c>
      <c r="J10" s="18">
        <f>IF(AND(YEAR(FebSun1+22)=Year,MONTH(FebSun1+22)=2),FebSun1+22, "")</f>
        <v>44613</v>
      </c>
      <c r="K10" s="10">
        <f>IF(AND(YEAR(FebSun1+23)=Year,MONTH(FebSun1+23)=2),FebSun1+23, "")</f>
        <v>44614</v>
      </c>
      <c r="L10" s="10">
        <f>IF(AND(YEAR(FebSun1+24)=Year,MONTH(FebSun1+24)=2),FebSun1+24, "")</f>
        <v>44615</v>
      </c>
      <c r="M10" s="10">
        <f>IF(AND(YEAR(FebSun1+25)=Year,MONTH(FebSun1+25)=2),FebSun1+25, "")</f>
        <v>44616</v>
      </c>
      <c r="N10" s="10">
        <f>IF(AND(YEAR(FebSun1+26)=Year,MONTH(FebSun1+26)=2),FebSun1+26, "")</f>
        <v>44617</v>
      </c>
      <c r="O10" s="10">
        <f>IF(AND(YEAR(FebSun1+27)=Year,MONTH(FebSun1+27)=2),FebSun1+27, "")</f>
        <v>44618</v>
      </c>
      <c r="P10" s="11"/>
      <c r="Q10" s="10">
        <f>IF(AND(YEAR(MarSun1+21)=Year,MONTH(MarSun1+21)=3),MarSun1+21, "")</f>
        <v>44640</v>
      </c>
      <c r="R10" s="10">
        <f>IF(AND(YEAR(MarSun1+22)=Year,MONTH(MarSun1+22)=3),MarSun1+22, "")</f>
        <v>44641</v>
      </c>
      <c r="S10" s="10">
        <f>IF(AND(YEAR(MarSun1+23)=Year,MONTH(MarSun1+23)=3),MarSun1+23, "")</f>
        <v>44642</v>
      </c>
      <c r="T10" s="10">
        <f>IF(AND(YEAR(MarSun1+24)=Year,MONTH(MarSun1+24)=3),MarSun1+24, "")</f>
        <v>44643</v>
      </c>
      <c r="U10" s="10">
        <f>IF(AND(YEAR(MarSun1+25)=Year,MONTH(MarSun1+25)=3),MarSun1+25, "")</f>
        <v>44644</v>
      </c>
      <c r="V10" s="10">
        <f>IF(AND(YEAR(MarSun1+26)=Year,MONTH(MarSun1+26)=3),MarSun1+26, "")</f>
        <v>44645</v>
      </c>
      <c r="W10" s="10">
        <f>IF(AND(YEAR(MarSun1+27)=Year,MONTH(MarSun1+27)=3),MarSun1+27, "")</f>
        <v>44646</v>
      </c>
    </row>
    <row r="11" spans="1:23" ht="24.95" customHeight="1" x14ac:dyDescent="0.4">
      <c r="A11" s="10">
        <f>IF(AND(YEAR(JanSun1+28)=Year,MONTH(JanSun1+28)=1),JanSun1+28, "")</f>
        <v>44584</v>
      </c>
      <c r="B11" s="10">
        <f>IF(AND(YEAR(JanSun1+29)=Year,MONTH(JanSun1+29)=1),JanSun1+29, "")</f>
        <v>44585</v>
      </c>
      <c r="C11" s="10">
        <f>IF(AND(YEAR(JanSun1+30)=Year,MONTH(JanSun1+30)=1),JanSun1+30, "")</f>
        <v>44586</v>
      </c>
      <c r="D11" s="10">
        <f>IF(AND(YEAR(JanSun1+31)=Year,MONTH(JanSun1+31)=1),JanSun1+31, "")</f>
        <v>44587</v>
      </c>
      <c r="E11" s="10">
        <f>IF(AND(YEAR(JanSun1+32)=Year,MONTH(JanSun1+32)=1),JanSun1+32, "")</f>
        <v>44588</v>
      </c>
      <c r="F11" s="10">
        <f>IF(AND(YEAR(JanSun1+33)=Year,MONTH(JanSun1+33)=1),JanSun1+33, "")</f>
        <v>44589</v>
      </c>
      <c r="G11" s="10">
        <f>IF(AND(YEAR(JanSun1+34)=Year,MONTH(JanSun1+34)=1),JanSun1+34, "")</f>
        <v>44590</v>
      </c>
      <c r="H11" s="11"/>
      <c r="I11" s="10">
        <f>IF(AND(YEAR(FebSun1+28)=Year,MONTH(FebSun1+28)=2),FebSun1+28, "")</f>
        <v>44619</v>
      </c>
      <c r="J11" s="10">
        <f>IF(AND(YEAR(FebSun1+29)=Year,MONTH(FebSun1+29)=2),FebSun1+29, "")</f>
        <v>44620</v>
      </c>
      <c r="K11" s="10" t="str">
        <f>IF(AND(YEAR(FebSun1+30)=Year,MONTH(FebSun1+30)=2),FebSun1+30, "")</f>
        <v/>
      </c>
      <c r="L11" s="10" t="str">
        <f>IF(AND(YEAR(FebSun1+31)=Year,MONTH(FebSun1+31)=2),FebSun1+31, "")</f>
        <v/>
      </c>
      <c r="M11" s="10" t="str">
        <f>IF(AND(YEAR(FebSun1+32)=Year,MONTH(FebSun1+32)=2),FebSun1+32, "")</f>
        <v/>
      </c>
      <c r="N11" s="10" t="str">
        <f>IF(AND(YEAR(FebSun1+33)=Year,MONTH(FebSun1+33)=2),FebSun1+33, "")</f>
        <v/>
      </c>
      <c r="O11" s="10" t="str">
        <f>IF(AND(YEAR(FebSun1+34)=Year,MONTH(FebSun1+34)=2),FebSun1+34, "")</f>
        <v/>
      </c>
      <c r="P11" s="11"/>
      <c r="Q11" s="10">
        <f>IF(AND(YEAR(MarSun1+28)=Year,MONTH(MarSun1+28)=3),MarSun1+28, "")</f>
        <v>44647</v>
      </c>
      <c r="R11" s="10">
        <f>IF(AND(YEAR(MarSun1+29)=Year,MONTH(MarSun1+29)=3),MarSun1+29, "")</f>
        <v>44648</v>
      </c>
      <c r="S11" s="10">
        <f>IF(AND(YEAR(MarSun1+30)=Year,MONTH(MarSun1+30)=3),MarSun1+30, "")</f>
        <v>44649</v>
      </c>
      <c r="T11" s="10">
        <f>IF(AND(YEAR(MarSun1+31)=Year,MONTH(MarSun1+31)=3),MarSun1+31, "")</f>
        <v>44650</v>
      </c>
      <c r="U11" s="10">
        <f>IF(AND(YEAR(MarSun1+32)=Year,MONTH(MarSun1+32)=3),MarSun1+32, "")</f>
        <v>44651</v>
      </c>
      <c r="V11" s="10" t="str">
        <f>IF(AND(YEAR(MarSun1+33)=Year,MONTH(MarSun1+33)=3),MarSun1+33, "")</f>
        <v/>
      </c>
      <c r="W11" s="10" t="str">
        <f>IF(AND(YEAR(MarSun1+34)=Year,MONTH(MarSun1+34)=3),MarSun1+34, "")</f>
        <v/>
      </c>
    </row>
    <row r="12" spans="1:23" ht="24.95" customHeight="1" x14ac:dyDescent="0.4">
      <c r="A12" s="6">
        <f>IF(AND(YEAR(JanSun1+35)=Year,MONTH(JanSun1+35)=1),JanSun1+35, "")</f>
        <v>44591</v>
      </c>
      <c r="B12" s="6">
        <f>IF(AND(YEAR(JanSun1+36)=Year,MONTH(JanSun1+36)=1),JanSun1+36, "")</f>
        <v>44592</v>
      </c>
      <c r="C12" s="6" t="str">
        <f>IF(AND(YEAR(JanSun1+37)=Year,MONTH(JanSun1+37)=1),JanSun1+37, "")</f>
        <v/>
      </c>
      <c r="D12" s="6" t="str">
        <f>IF(AND(YEAR(JanSun1+38)=Year,MONTH(JanSun1+38)=1),JanSun1+38, "")</f>
        <v/>
      </c>
      <c r="E12" s="6" t="str">
        <f>IF(AND(YEAR(JanSun1+39)=Year,MONTH(JanSun1+39)=1),JanSun1+39, "")</f>
        <v/>
      </c>
      <c r="F12" s="6" t="str">
        <f>IF(AND(YEAR(JanSun1+40)=Year,MONTH(JanSun1+40)=1),JanSun1+40, "")</f>
        <v/>
      </c>
      <c r="G12" s="6" t="str">
        <f>IF(AND(YEAR(JanSun1+41)=Year,MONTH(JanSun1+41)=1),JanSun1+41, "")</f>
        <v/>
      </c>
      <c r="H12" s="2"/>
      <c r="I12" s="6" t="str">
        <f>IF(AND(YEAR(FebSun1+35)=Year,MONTH(FebSun1+35)=2),FebSun1+35, "")</f>
        <v/>
      </c>
      <c r="J12" s="6" t="str">
        <f>IF(AND(YEAR(FebSun1+36)=Year,MONTH(FebSun1+36)=2),FebSun1+36, "")</f>
        <v/>
      </c>
      <c r="K12" s="6" t="str">
        <f>IF(AND(YEAR(FebSun1+37)=Year,MONTH(FebSun1+37)=2),FebSun1+37, "")</f>
        <v/>
      </c>
      <c r="L12" s="6" t="str">
        <f>IF(AND(YEAR(FebSun1+38)=Year,MONTH(FebSun1+38)=2),FebSun1+38, "")</f>
        <v/>
      </c>
      <c r="M12" s="6" t="str">
        <f>IF(AND(YEAR(FebSun1+39)=Year,MONTH(FebSun1+39)=2),FebSun1+39, "")</f>
        <v/>
      </c>
      <c r="N12" s="6" t="str">
        <f>IF(AND(YEAR(FebSun1+40)=Year,MONTH(FebSun1+40)=2),FebSun1+40, "")</f>
        <v/>
      </c>
      <c r="O12" s="6" t="str">
        <f>IF(AND(YEAR(FebSun1+41)=Year,MONTH(FebSun1+41)=2),FebSun1+41, "")</f>
        <v/>
      </c>
      <c r="P12" s="2"/>
      <c r="Q12" s="6" t="str">
        <f>IF(AND(YEAR(MarSun1+35)=Year,MONTH(MarSun1+35)=3),MarSun1+35, "")</f>
        <v/>
      </c>
      <c r="R12" s="6" t="str">
        <f>IF(AND(YEAR(MarSun1+36)=Year,MONTH(MarSun1+36)=3),MarSun1+36, "")</f>
        <v/>
      </c>
      <c r="S12" s="6" t="str">
        <f>IF(AND(YEAR(MarSun1+37)=Year,MONTH(MarSun1+37)=3),MarSun1+37, "")</f>
        <v/>
      </c>
      <c r="T12" s="6" t="str">
        <f>IF(AND(YEAR(MarSun1+38)=Year,MONTH(MarSun1+38)=3),MarSun1+38, "")</f>
        <v/>
      </c>
      <c r="U12" s="6" t="str">
        <f>IF(AND(YEAR(MarSun1+39)=Year,MONTH(MarSun1+39)=3),MarSun1+39, "")</f>
        <v/>
      </c>
      <c r="V12" s="6" t="str">
        <f>IF(AND(YEAR(MarSun1+40)=Year,MONTH(MarSun1+40)=3),MarSun1+40, "")</f>
        <v/>
      </c>
      <c r="W12" s="6" t="str">
        <f>IF(AND(YEAR(MarSun1+41)=Year,MONTH(MarSun1+41)=3),MarSun1+41, "")</f>
        <v/>
      </c>
    </row>
    <row r="13" spans="1:23" ht="24.9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4.95" customHeight="1" x14ac:dyDescent="0.4">
      <c r="A14" s="15" t="s">
        <v>3</v>
      </c>
      <c r="B14" s="15"/>
      <c r="C14" s="15"/>
      <c r="D14" s="15"/>
      <c r="E14" s="15"/>
      <c r="F14" s="15"/>
      <c r="G14" s="15"/>
      <c r="H14" s="2"/>
      <c r="I14" s="15" t="s">
        <v>4</v>
      </c>
      <c r="J14" s="15"/>
      <c r="K14" s="15"/>
      <c r="L14" s="15"/>
      <c r="M14" s="15"/>
      <c r="N14" s="15"/>
      <c r="O14" s="15"/>
      <c r="P14" s="2"/>
      <c r="Q14" s="15" t="s">
        <v>5</v>
      </c>
      <c r="R14" s="15"/>
      <c r="S14" s="15"/>
      <c r="T14" s="15"/>
      <c r="U14" s="15"/>
      <c r="V14" s="15"/>
      <c r="W14" s="15"/>
    </row>
    <row r="15" spans="1:23" ht="24.95" customHeight="1" x14ac:dyDescent="0.4">
      <c r="A15" s="5" t="s">
        <v>12</v>
      </c>
      <c r="B15" s="5" t="s">
        <v>13</v>
      </c>
      <c r="C15" s="5" t="s">
        <v>14</v>
      </c>
      <c r="D15" s="5" t="s">
        <v>15</v>
      </c>
      <c r="E15" s="5" t="s">
        <v>14</v>
      </c>
      <c r="F15" s="5" t="s">
        <v>16</v>
      </c>
      <c r="G15" s="5" t="s">
        <v>12</v>
      </c>
      <c r="H15" s="2"/>
      <c r="I15" s="5" t="s">
        <v>12</v>
      </c>
      <c r="J15" s="5" t="s">
        <v>13</v>
      </c>
      <c r="K15" s="5" t="s">
        <v>14</v>
      </c>
      <c r="L15" s="5" t="s">
        <v>15</v>
      </c>
      <c r="M15" s="5" t="s">
        <v>14</v>
      </c>
      <c r="N15" s="5" t="s">
        <v>16</v>
      </c>
      <c r="O15" s="5" t="s">
        <v>12</v>
      </c>
      <c r="P15" s="2"/>
      <c r="Q15" s="5" t="s">
        <v>12</v>
      </c>
      <c r="R15" s="5" t="s">
        <v>13</v>
      </c>
      <c r="S15" s="5" t="s">
        <v>14</v>
      </c>
      <c r="T15" s="5" t="s">
        <v>15</v>
      </c>
      <c r="U15" s="5" t="s">
        <v>14</v>
      </c>
      <c r="V15" s="5" t="s">
        <v>16</v>
      </c>
      <c r="W15" s="5" t="s">
        <v>12</v>
      </c>
    </row>
    <row r="16" spans="1:23" ht="24.95" customHeight="1" x14ac:dyDescent="0.4">
      <c r="A16" s="10" t="str">
        <f>IF(AND(YEAR(AprSun1)=Year,MONTH(AprSun1)=4),AprSun1, "")</f>
        <v/>
      </c>
      <c r="B16" s="10" t="str">
        <f>IF(AND(YEAR(AprSun1+1)=Year,MONTH(AprSun1+1)=4),AprSun1+1, "")</f>
        <v/>
      </c>
      <c r="C16" s="10" t="str">
        <f>IF(AND(YEAR(AprSun1+2)=Year,MONTH(AprSun1+2)=4),AprSun1+2, "")</f>
        <v/>
      </c>
      <c r="D16" s="10" t="str">
        <f>IF(AND(YEAR(AprSun1+3)=Year,MONTH(AprSun1+3)=4),AprSun1+3, "")</f>
        <v/>
      </c>
      <c r="E16" s="10" t="str">
        <f>IF(AND(YEAR(AprSun1+4)=Year,MONTH(AprSun1+4)=4),AprSun1+4, "")</f>
        <v/>
      </c>
      <c r="F16" s="10">
        <f>IF(AND(YEAR(AprSun1+5)=Year,MONTH(AprSun1+5)=4),AprSun1+5, "")</f>
        <v>44652</v>
      </c>
      <c r="G16" s="10">
        <f>IF(AND(YEAR(AprSun1+6)=Year,MONTH(AprSun1+6)=4),AprSun1+6, "")</f>
        <v>44653</v>
      </c>
      <c r="H16" s="11"/>
      <c r="I16" s="10">
        <f>IF(AND(YEAR(MaySun1)=Year,MONTH(MaySun1)=5),MaySun1, "")</f>
        <v>44682</v>
      </c>
      <c r="J16" s="10">
        <f>IF(AND(YEAR(MaySun1+1)=Year,MONTH(MaySun1+1)=5),MaySun1+1, "")</f>
        <v>44683</v>
      </c>
      <c r="K16" s="10">
        <f>IF(AND(YEAR(MaySun1+2)=Year,MONTH(MaySun1+2)=5),MaySun1+2, "")</f>
        <v>44684</v>
      </c>
      <c r="L16" s="10">
        <f>IF(AND(YEAR(MaySun1+3)=Year,MONTH(MaySun1+3)=5),MaySun1+3, "")</f>
        <v>44685</v>
      </c>
      <c r="M16" s="10">
        <f>IF(AND(YEAR(MaySun1+4)=Year,MONTH(MaySun1+4)=5),MaySun1+4, "")</f>
        <v>44686</v>
      </c>
      <c r="N16" s="10">
        <f>IF(AND(YEAR(MaySun1+5)=Year,MONTH(MaySun1+5)=5),MaySun1+5, "")</f>
        <v>44687</v>
      </c>
      <c r="O16" s="10">
        <f>IF(AND(YEAR(MaySun1+6)=Year,MONTH(MaySun1+6)=5),MaySun1+6, "")</f>
        <v>44688</v>
      </c>
      <c r="P16" s="11"/>
      <c r="Q16" s="10" t="str">
        <f>IF(AND(YEAR(JunSun1)=Year,MONTH(JunSun1)=6),JunSun1, "")</f>
        <v/>
      </c>
      <c r="R16" s="10" t="str">
        <f>IF(AND(YEAR(JunSun1+1)=Year,MONTH(JunSun1+1)=6),JunSun1+1, "")</f>
        <v/>
      </c>
      <c r="S16" s="10" t="str">
        <f>IF(AND(YEAR(JunSun1+2)=Year,MONTH(JunSun1+2)=6),JunSun1+2, "")</f>
        <v/>
      </c>
      <c r="T16" s="10">
        <f>IF(AND(YEAR(JunSun1+3)=Year,MONTH(JunSun1+3)=6),JunSun1+3, "")</f>
        <v>44713</v>
      </c>
      <c r="U16" s="10">
        <f>IF(AND(YEAR(JunSun1+4)=Year,MONTH(JunSun1+4)=6),JunSun1+4, "")</f>
        <v>44714</v>
      </c>
      <c r="V16" s="10">
        <f>IF(AND(YEAR(JunSun1+5)=Year,MONTH(JunSun1+5)=6),JunSun1+5, "")</f>
        <v>44715</v>
      </c>
      <c r="W16" s="10">
        <f>IF(AND(YEAR(JunSun1+6)=Year,MONTH(JunSun1+6)=6),JunSun1+6, "")</f>
        <v>44716</v>
      </c>
    </row>
    <row r="17" spans="1:23" ht="24.95" customHeight="1" x14ac:dyDescent="0.4">
      <c r="A17" s="10">
        <f>IF(AND(YEAR(AprSun1+7)=Year,MONTH(AprSun1+7)=4),AprSun1+7, "")</f>
        <v>44654</v>
      </c>
      <c r="B17" s="10">
        <f>IF(AND(YEAR(AprSun1+8)=Year,MONTH(AprSun1+8)=4),AprSun1+8, "")</f>
        <v>44655</v>
      </c>
      <c r="C17" s="10">
        <f>IF(AND(YEAR(AprSun1+9)=Year,MONTH(AprSun1+9)=4),AprSun1+9, "")</f>
        <v>44656</v>
      </c>
      <c r="D17" s="10">
        <f>IF(AND(YEAR(AprSun1+10)=Year,MONTH(AprSun1+10)=4),AprSun1+10, "")</f>
        <v>44657</v>
      </c>
      <c r="E17" s="10">
        <f>IF(AND(YEAR(AprSun1+11)=Year,MONTH(AprSun1+11)=4),AprSun1+11, "")</f>
        <v>44658</v>
      </c>
      <c r="F17" s="10">
        <f>IF(AND(YEAR(AprSun1+12)=Year,MONTH(AprSun1+12)=4),AprSun1+12, "")</f>
        <v>44659</v>
      </c>
      <c r="G17" s="10">
        <f>IF(AND(YEAR(AprSun1+13)=Year,MONTH(AprSun1+13)=4),AprSun1+13, "")</f>
        <v>44660</v>
      </c>
      <c r="H17" s="11"/>
      <c r="I17" s="10">
        <f>IF(AND(YEAR(MaySun1+7)=Year,MONTH(MaySun1+7)=5),MaySun1+7, "")</f>
        <v>44689</v>
      </c>
      <c r="J17" s="10">
        <f>IF(AND(YEAR(MaySun1+8)=Year,MONTH(MaySun1+8)=5),MaySun1+8, "")</f>
        <v>44690</v>
      </c>
      <c r="K17" s="10">
        <f>IF(AND(YEAR(MaySun1+9)=Year,MONTH(MaySun1+9)=5),MaySun1+9, "")</f>
        <v>44691</v>
      </c>
      <c r="L17" s="10">
        <f>IF(AND(YEAR(MaySun1+10)=Year,MONTH(MaySun1+10)=5),MaySun1+10, "")</f>
        <v>44692</v>
      </c>
      <c r="M17" s="10">
        <f>IF(AND(YEAR(MaySun1+11)=Year,MONTH(MaySun1+11)=5),MaySun1+11, "")</f>
        <v>44693</v>
      </c>
      <c r="N17" s="10">
        <f>IF(AND(YEAR(MaySun1+12)=Year,MONTH(MaySun1+12)=5),MaySun1+12, "")</f>
        <v>44694</v>
      </c>
      <c r="O17" s="10">
        <f>IF(AND(YEAR(MaySun1+13)=Year,MONTH(MaySun1+13)=5),MaySun1+13, "")</f>
        <v>44695</v>
      </c>
      <c r="P17" s="11"/>
      <c r="Q17" s="10">
        <f>IF(AND(YEAR(JunSun1+7)=Year,MONTH(JunSun1+7)=6),JunSun1+7, "")</f>
        <v>44717</v>
      </c>
      <c r="R17" s="10">
        <f>IF(AND(YEAR(JunSun1+8)=Year,MONTH(JunSun1+8)=6),JunSun1+8, "")</f>
        <v>44718</v>
      </c>
      <c r="S17" s="10">
        <f>IF(AND(YEAR(JunSun1+9)=Year,MONTH(JunSun1+9)=6),JunSun1+9, "")</f>
        <v>44719</v>
      </c>
      <c r="T17" s="10">
        <f>IF(AND(YEAR(JunSun1+10)=Year,MONTH(JunSun1+10)=6),JunSun1+10, "")</f>
        <v>44720</v>
      </c>
      <c r="U17" s="10">
        <f>IF(AND(YEAR(JunSun1+11)=Year,MONTH(JunSun1+11)=6),JunSun1+11, "")</f>
        <v>44721</v>
      </c>
      <c r="V17" s="10">
        <f>IF(AND(YEAR(JunSun1+12)=Year,MONTH(JunSun1+12)=6),JunSun1+12, "")</f>
        <v>44722</v>
      </c>
      <c r="W17" s="10">
        <f>IF(AND(YEAR(JunSun1+13)=Year,MONTH(JunSun1+13)=6),JunSun1+13, "")</f>
        <v>44723</v>
      </c>
    </row>
    <row r="18" spans="1:23" ht="24.95" customHeight="1" x14ac:dyDescent="0.4">
      <c r="A18" s="10">
        <f>IF(AND(YEAR(AprSun1+14)=Year,MONTH(AprSun1+14)=4),AprSun1+14, "")</f>
        <v>44661</v>
      </c>
      <c r="B18" s="10">
        <f>IF(AND(YEAR(AprSun1+15)=Year,MONTH(AprSun1+15)=4),AprSun1+15, "")</f>
        <v>44662</v>
      </c>
      <c r="C18" s="10">
        <f>IF(AND(YEAR(AprSun1+16)=Year,MONTH(AprSun1+16)=4),AprSun1+16, "")</f>
        <v>44663</v>
      </c>
      <c r="D18" s="10">
        <f>IF(AND(YEAR(AprSun1+17)=Year,MONTH(AprSun1+17)=4),AprSun1+17, "")</f>
        <v>44664</v>
      </c>
      <c r="E18" s="10">
        <f>IF(AND(YEAR(AprSun1+18)=Year,MONTH(AprSun1+18)=4),AprSun1+18, "")</f>
        <v>44665</v>
      </c>
      <c r="F18" s="10">
        <f>IF(AND(YEAR(AprSun1+19)=Year,MONTH(AprSun1+19)=4),AprSun1+19, "")</f>
        <v>44666</v>
      </c>
      <c r="G18" s="10">
        <f>IF(AND(YEAR(AprSun1+20)=Year,MONTH(AprSun1+20)=4),AprSun1+20, "")</f>
        <v>44667</v>
      </c>
      <c r="H18" s="11"/>
      <c r="I18" s="10">
        <f>IF(AND(YEAR(MaySun1+14)=Year,MONTH(MaySun1+14)=5),MaySun1+14, "")</f>
        <v>44696</v>
      </c>
      <c r="J18" s="10">
        <f>IF(AND(YEAR(MaySun1+15)=Year,MONTH(MaySun1+15)=5),MaySun1+15, "")</f>
        <v>44697</v>
      </c>
      <c r="K18" s="10">
        <f>IF(AND(YEAR(MaySun1+16)=Year,MONTH(MaySun1+16)=5),MaySun1+16, "")</f>
        <v>44698</v>
      </c>
      <c r="L18" s="10">
        <f>IF(AND(YEAR(MaySun1+17)=Year,MONTH(MaySun1+17)=5),MaySun1+17, "")</f>
        <v>44699</v>
      </c>
      <c r="M18" s="10">
        <f>IF(AND(YEAR(MaySun1+18)=Year,MONTH(MaySun1+18)=5),MaySun1+18, "")</f>
        <v>44700</v>
      </c>
      <c r="N18" s="10">
        <f>IF(AND(YEAR(MaySun1+19)=Year,MONTH(MaySun1+19)=5),MaySun1+19, "")</f>
        <v>44701</v>
      </c>
      <c r="O18" s="10">
        <f>IF(AND(YEAR(MaySun1+20)=Year,MONTH(MaySun1+20)=5),MaySun1+20, "")</f>
        <v>44702</v>
      </c>
      <c r="P18" s="11"/>
      <c r="Q18" s="10">
        <f>IF(AND(YEAR(JunSun1+14)=Year,MONTH(JunSun1+14)=6),JunSun1+14, "")</f>
        <v>44724</v>
      </c>
      <c r="R18" s="10">
        <f>IF(AND(YEAR(JunSun1+15)=Year,MONTH(JunSun1+15)=6),JunSun1+15, "")</f>
        <v>44725</v>
      </c>
      <c r="S18" s="10">
        <f>IF(AND(YEAR(JunSun1+16)=Year,MONTH(JunSun1+16)=6),JunSun1+16, "")</f>
        <v>44726</v>
      </c>
      <c r="T18" s="10">
        <f>IF(AND(YEAR(JunSun1+17)=Year,MONTH(JunSun1+17)=6),JunSun1+17, "")</f>
        <v>44727</v>
      </c>
      <c r="U18" s="10">
        <f>IF(AND(YEAR(JunSun1+18)=Year,MONTH(JunSun1+18)=6),JunSun1+18, "")</f>
        <v>44728</v>
      </c>
      <c r="V18" s="10">
        <f>IF(AND(YEAR(JunSun1+19)=Year,MONTH(JunSun1+19)=6),JunSun1+19, "")</f>
        <v>44729</v>
      </c>
      <c r="W18" s="10">
        <f>IF(AND(YEAR(JunSun1+20)=Year,MONTH(JunSun1+20)=6),JunSun1+20, "")</f>
        <v>44730</v>
      </c>
    </row>
    <row r="19" spans="1:23" ht="24.95" customHeight="1" x14ac:dyDescent="0.4">
      <c r="A19" s="10">
        <f>IF(AND(YEAR(AprSun1+21)=Year,MONTH(AprSun1+21)=4),AprSun1+21, "")</f>
        <v>44668</v>
      </c>
      <c r="B19" s="10">
        <f>IF(AND(YEAR(AprSun1+22)=Year,MONTH(AprSun1+22)=4),AprSun1+22, "")</f>
        <v>44669</v>
      </c>
      <c r="C19" s="10">
        <f>IF(AND(YEAR(AprSun1+23)=Year,MONTH(AprSun1+23)=4),AprSun1+23, "")</f>
        <v>44670</v>
      </c>
      <c r="D19" s="10">
        <f>IF(AND(YEAR(AprSun1+24)=Year,MONTH(AprSun1+24)=4),AprSun1+24, "")</f>
        <v>44671</v>
      </c>
      <c r="E19" s="10">
        <f>IF(AND(YEAR(AprSun1+25)=Year,MONTH(AprSun1+25)=4),AprSun1+25, "")</f>
        <v>44672</v>
      </c>
      <c r="F19" s="10">
        <f>IF(AND(YEAR(AprSun1+26)=Year,MONTH(AprSun1+26)=4),AprSun1+26, "")</f>
        <v>44673</v>
      </c>
      <c r="G19" s="10">
        <f>IF(AND(YEAR(AprSun1+27)=Year,MONTH(AprSun1+27)=4),AprSun1+27, "")</f>
        <v>44674</v>
      </c>
      <c r="H19" s="11"/>
      <c r="I19" s="10">
        <f>IF(AND(YEAR(MaySun1+21)=Year,MONTH(MaySun1+21)=5),MaySun1+21, "")</f>
        <v>44703</v>
      </c>
      <c r="J19" s="10">
        <f>IF(AND(YEAR(MaySun1+22)=Year,MONTH(MaySun1+22)=5),MaySun1+22, "")</f>
        <v>44704</v>
      </c>
      <c r="K19" s="10">
        <f>IF(AND(YEAR(MaySun1+23)=Year,MONTH(MaySun1+23)=5),MaySun1+23, "")</f>
        <v>44705</v>
      </c>
      <c r="L19" s="10">
        <f>IF(AND(YEAR(MaySun1+24)=Year,MONTH(MaySun1+24)=5),MaySun1+24, "")</f>
        <v>44706</v>
      </c>
      <c r="M19" s="10">
        <f>IF(AND(YEAR(MaySun1+25)=Year,MONTH(MaySun1+25)=5),MaySun1+25, "")</f>
        <v>44707</v>
      </c>
      <c r="N19" s="10">
        <f>IF(AND(YEAR(MaySun1+26)=Year,MONTH(MaySun1+26)=5),MaySun1+26, "")</f>
        <v>44708</v>
      </c>
      <c r="O19" s="10">
        <f>IF(AND(YEAR(MaySun1+27)=Year,MONTH(MaySun1+27)=5),MaySun1+27, "")</f>
        <v>44709</v>
      </c>
      <c r="P19" s="11"/>
      <c r="Q19" s="10">
        <f>IF(AND(YEAR(JunSun1+21)=Year,MONTH(JunSun1+21)=6),JunSun1+21, "")</f>
        <v>44731</v>
      </c>
      <c r="R19" s="18">
        <f>IF(AND(YEAR(JunSun1+22)=Year,MONTH(JunSun1+22)=6),JunSun1+22, "")</f>
        <v>44732</v>
      </c>
      <c r="S19" s="10">
        <f>IF(AND(YEAR(JunSun1+23)=Year,MONTH(JunSun1+23)=6),JunSun1+23, "")</f>
        <v>44733</v>
      </c>
      <c r="T19" s="10">
        <f>IF(AND(YEAR(JunSun1+24)=Year,MONTH(JunSun1+24)=6),JunSun1+24, "")</f>
        <v>44734</v>
      </c>
      <c r="U19" s="10">
        <f>IF(AND(YEAR(JunSun1+25)=Year,MONTH(JunSun1+25)=6),JunSun1+25, "")</f>
        <v>44735</v>
      </c>
      <c r="V19" s="10">
        <f>IF(AND(YEAR(JunSun1+26)=Year,MONTH(JunSun1+26)=6),JunSun1+26, "")</f>
        <v>44736</v>
      </c>
      <c r="W19" s="10">
        <f>IF(AND(YEAR(JunSun1+27)=Year,MONTH(JunSun1+27)=6),JunSun1+27, "")</f>
        <v>44737</v>
      </c>
    </row>
    <row r="20" spans="1:23" ht="24.95" customHeight="1" x14ac:dyDescent="0.4">
      <c r="A20" s="10">
        <f>IF(AND(YEAR(AprSun1+28)=Year,MONTH(AprSun1+28)=4),AprSun1+28, "")</f>
        <v>44675</v>
      </c>
      <c r="B20" s="10">
        <f>IF(AND(YEAR(AprSun1+29)=Year,MONTH(AprSun1+29)=4),AprSun1+29, "")</f>
        <v>44676</v>
      </c>
      <c r="C20" s="10">
        <f>IF(AND(YEAR(AprSun1+30)=Year,MONTH(AprSun1+30)=4),AprSun1+30, "")</f>
        <v>44677</v>
      </c>
      <c r="D20" s="10">
        <f>IF(AND(YEAR(AprSun1+31)=Year,MONTH(AprSun1+31)=4),AprSun1+31, "")</f>
        <v>44678</v>
      </c>
      <c r="E20" s="10">
        <f>IF(AND(YEAR(AprSun1+32)=Year,MONTH(AprSun1+32)=4),AprSun1+32, "")</f>
        <v>44679</v>
      </c>
      <c r="F20" s="10">
        <f>IF(AND(YEAR(AprSun1+33)=Year,MONTH(AprSun1+33)=4),AprSun1+33, "")</f>
        <v>44680</v>
      </c>
      <c r="G20" s="10">
        <f>IF(AND(YEAR(AprSun1+34)=Year,MONTH(AprSun1+34)=4),AprSun1+34, "")</f>
        <v>44681</v>
      </c>
      <c r="H20" s="11"/>
      <c r="I20" s="10">
        <f>IF(AND(YEAR(MaySun1+28)=Year,MONTH(MaySun1+28)=5),MaySun1+28, "")</f>
        <v>44710</v>
      </c>
      <c r="J20" s="18">
        <f>IF(AND(YEAR(MaySun1+29)=Year,MONTH(MaySun1+29)=5),MaySun1+29, "")</f>
        <v>44711</v>
      </c>
      <c r="K20" s="10">
        <f>IF(AND(YEAR(MaySun1+30)=Year,MONTH(MaySun1+30)=5),MaySun1+30, "")</f>
        <v>44712</v>
      </c>
      <c r="L20" s="10" t="str">
        <f>IF(AND(YEAR(MaySun1+31)=Year,MONTH(MaySun1+31)=5),MaySun1+31, "")</f>
        <v/>
      </c>
      <c r="M20" s="10" t="str">
        <f>IF(AND(YEAR(MaySun1+32)=Year,MONTH(MaySun1+32)=5),MaySun1+32, "")</f>
        <v/>
      </c>
      <c r="N20" s="10" t="str">
        <f>IF(AND(YEAR(MaySun1+33)=Year,MONTH(MaySun1+33)=5),MaySun1+33, "")</f>
        <v/>
      </c>
      <c r="O20" s="10" t="str">
        <f>IF(AND(YEAR(MaySun1+34)=Year,MONTH(MaySun1+34)=5),MaySun1+34, "")</f>
        <v/>
      </c>
      <c r="P20" s="11"/>
      <c r="Q20" s="10">
        <f>IF(AND(YEAR(JunSun1+28)=Year,MONTH(JunSun1+28)=6),JunSun1+28, "")</f>
        <v>44738</v>
      </c>
      <c r="R20" s="10">
        <f>IF(AND(YEAR(JunSun1+29)=Year,MONTH(JunSun1+29)=6),JunSun1+29, "")</f>
        <v>44739</v>
      </c>
      <c r="S20" s="10">
        <f>IF(AND(YEAR(JunSun1+30)=Year,MONTH(JunSun1+30)=6),JunSun1+30, "")</f>
        <v>44740</v>
      </c>
      <c r="T20" s="10">
        <f>IF(AND(YEAR(JunSun1+31)=Year,MONTH(JunSun1+31)=6),JunSun1+31, "")</f>
        <v>44741</v>
      </c>
      <c r="U20" s="10">
        <f>IF(AND(YEAR(JunSun1+32)=Year,MONTH(JunSun1+32)=6),JunSun1+32, "")</f>
        <v>44742</v>
      </c>
      <c r="V20" s="10" t="str">
        <f>IF(AND(YEAR(JunSun1+33)=Year,MONTH(JunSun1+33)=6),JunSun1+33, "")</f>
        <v/>
      </c>
      <c r="W20" s="10" t="str">
        <f>IF(AND(YEAR(JunSun1+34)=Year,MONTH(JunSun1+34)=6),JunSun1+34, "")</f>
        <v/>
      </c>
    </row>
    <row r="21" spans="1:23" ht="24.95" customHeight="1" x14ac:dyDescent="0.4">
      <c r="A21" s="6" t="str">
        <f>IF(AND(YEAR(AprSun1+35)=Year,MONTH(AprSun1+35)=4),AprSun1+35, "")</f>
        <v/>
      </c>
      <c r="B21" s="6" t="str">
        <f>IF(AND(YEAR(AprSun1+36)=Year,MONTH(AprSun1+36)=4),AprSun1+36, "")</f>
        <v/>
      </c>
      <c r="C21" s="6" t="str">
        <f>IF(AND(YEAR(AprSun1+37)=Year,MONTH(AprSun1+37)=4),AprSun1+37, "")</f>
        <v/>
      </c>
      <c r="D21" s="6" t="str">
        <f>IF(AND(YEAR(AprSun1+38)=Year,MONTH(AprSun1+38)=4),AprSun1+38, "")</f>
        <v/>
      </c>
      <c r="E21" s="6" t="str">
        <f>IF(AND(YEAR(AprSun1+39)=Year,MONTH(AprSun1+39)=4),AprSun1+39, "")</f>
        <v/>
      </c>
      <c r="F21" s="6" t="str">
        <f>IF(AND(YEAR(AprSun1+40)=Year,MONTH(AprSun1+40)=4),AprSun1+40, "")</f>
        <v/>
      </c>
      <c r="G21" s="6" t="str">
        <f>IF(AND(YEAR(AprSun1+41)=Year,MONTH(AprSun1+41)=4),AprSun1+41, "")</f>
        <v/>
      </c>
      <c r="H21" s="2"/>
      <c r="I21" s="6" t="str">
        <f>IF(AND(YEAR(MaySun1+35)=Year,MONTH(MaySun1+35)=5),MaySun1+35, "")</f>
        <v/>
      </c>
      <c r="J21" s="6" t="str">
        <f>IF(AND(YEAR(MaySun1+36)=Year,MONTH(MaySun1+36)=5),MaySun1+36, "")</f>
        <v/>
      </c>
      <c r="K21" s="6" t="str">
        <f>IF(AND(YEAR(MaySun1+37)=Year,MONTH(MaySun1+37)=5),MaySun1+37, "")</f>
        <v/>
      </c>
      <c r="L21" s="6" t="str">
        <f>IF(AND(YEAR(MaySun1+38)=Year,MONTH(MaySun1+38)=5),MaySun1+38, "")</f>
        <v/>
      </c>
      <c r="M21" s="6" t="str">
        <f>IF(AND(YEAR(MaySun1+39)=Year,MONTH(MaySun1+39)=5),MaySun1+39, "")</f>
        <v/>
      </c>
      <c r="N21" s="6" t="str">
        <f>IF(AND(YEAR(MaySun1+40)=Year,MONTH(MaySun1+40)=5),MaySun1+40, "")</f>
        <v/>
      </c>
      <c r="O21" s="6" t="str">
        <f>IF(AND(YEAR(MaySun1+41)=Year,MONTH(MaySun1+41)=5),MaySun1+41, "")</f>
        <v/>
      </c>
      <c r="P21" s="2"/>
      <c r="Q21" s="6" t="str">
        <f>IF(AND(YEAR(JunSun1+35)=Year,MONTH(JunSun1+35)=6),JunSun1+35, "")</f>
        <v/>
      </c>
      <c r="R21" s="6" t="str">
        <f>IF(AND(YEAR(JunSun1+36)=Year,MONTH(JunSun1+36)=6),JunSun1+36, "")</f>
        <v/>
      </c>
      <c r="S21" s="6" t="str">
        <f>IF(AND(YEAR(JunSun1+37)=Year,MONTH(JunSun1+37)=6),JunSun1+37, "")</f>
        <v/>
      </c>
      <c r="T21" s="6" t="str">
        <f>IF(AND(YEAR(JunSun1+38)=Year,MONTH(JunSun1+38)=6),JunSun1+38, "")</f>
        <v/>
      </c>
      <c r="U21" s="6" t="str">
        <f>IF(AND(YEAR(JunSun1+39)=Year,MONTH(JunSun1+39)=6),JunSun1+39, "")</f>
        <v/>
      </c>
      <c r="V21" s="6" t="str">
        <f>IF(AND(YEAR(JunSun1+40)=Year,MONTH(JunSun1+40)=6),JunSun1+40, "")</f>
        <v/>
      </c>
      <c r="W21" s="6" t="str">
        <f>IF(AND(YEAR(JunSun1+41)=Year,MONTH(JunSun1+41)=6),JunSun1+41, "")</f>
        <v/>
      </c>
    </row>
    <row r="22" spans="1:23" ht="24.9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4.95" customHeight="1" x14ac:dyDescent="0.4">
      <c r="A23" s="15" t="s">
        <v>6</v>
      </c>
      <c r="B23" s="15"/>
      <c r="C23" s="15"/>
      <c r="D23" s="15"/>
      <c r="E23" s="15"/>
      <c r="F23" s="15"/>
      <c r="G23" s="15"/>
      <c r="H23" s="2"/>
      <c r="I23" s="15" t="s">
        <v>9</v>
      </c>
      <c r="J23" s="15"/>
      <c r="K23" s="15"/>
      <c r="L23" s="15"/>
      <c r="M23" s="15"/>
      <c r="N23" s="15"/>
      <c r="O23" s="15"/>
      <c r="P23" s="2"/>
      <c r="Q23" s="15" t="s">
        <v>7</v>
      </c>
      <c r="R23" s="15"/>
      <c r="S23" s="15"/>
      <c r="T23" s="15"/>
      <c r="U23" s="15"/>
      <c r="V23" s="15"/>
      <c r="W23" s="15"/>
    </row>
    <row r="24" spans="1:23" ht="24.95" customHeight="1" x14ac:dyDescent="0.4">
      <c r="A24" s="5" t="s">
        <v>12</v>
      </c>
      <c r="B24" s="5" t="s">
        <v>13</v>
      </c>
      <c r="C24" s="5" t="s">
        <v>14</v>
      </c>
      <c r="D24" s="5" t="s">
        <v>15</v>
      </c>
      <c r="E24" s="5" t="s">
        <v>14</v>
      </c>
      <c r="F24" s="5" t="s">
        <v>16</v>
      </c>
      <c r="G24" s="5" t="s">
        <v>12</v>
      </c>
      <c r="H24" s="2"/>
      <c r="I24" s="5" t="s">
        <v>12</v>
      </c>
      <c r="J24" s="5" t="s">
        <v>13</v>
      </c>
      <c r="K24" s="5" t="s">
        <v>14</v>
      </c>
      <c r="L24" s="5" t="s">
        <v>15</v>
      </c>
      <c r="M24" s="5" t="s">
        <v>14</v>
      </c>
      <c r="N24" s="5" t="s">
        <v>16</v>
      </c>
      <c r="O24" s="5" t="s">
        <v>12</v>
      </c>
      <c r="P24" s="2"/>
      <c r="Q24" s="5" t="s">
        <v>12</v>
      </c>
      <c r="R24" s="5" t="s">
        <v>13</v>
      </c>
      <c r="S24" s="5" t="s">
        <v>14</v>
      </c>
      <c r="T24" s="5" t="s">
        <v>15</v>
      </c>
      <c r="U24" s="5" t="s">
        <v>14</v>
      </c>
      <c r="V24" s="5" t="s">
        <v>16</v>
      </c>
      <c r="W24" s="5" t="s">
        <v>12</v>
      </c>
    </row>
    <row r="25" spans="1:23" ht="24.95" customHeight="1" x14ac:dyDescent="0.4">
      <c r="A25" s="10" t="str">
        <f>IF(AND(YEAR(JulSun1)=Year,MONTH(JulSun1)=7),JulSun1, "")</f>
        <v/>
      </c>
      <c r="B25" s="10" t="str">
        <f>IF(AND(YEAR(JulSun1+1)=Year,MONTH(JulSun1+1)=7),JulSun1+1, "")</f>
        <v/>
      </c>
      <c r="C25" s="10" t="str">
        <f>IF(AND(YEAR(JulSun1+2)=Year,MONTH(JulSun1+2)=7),JulSun1+2, "")</f>
        <v/>
      </c>
      <c r="D25" s="10" t="str">
        <f>IF(AND(YEAR(JulSun1+3)=Year,MONTH(JulSun1+3)=7),JulSun1+3, "")</f>
        <v/>
      </c>
      <c r="E25" s="10" t="str">
        <f>IF(AND(YEAR(JulSun1+4)=Year,MONTH(JulSun1+4)=7),JulSun1+4, "")</f>
        <v/>
      </c>
      <c r="F25" s="10">
        <f>IF(AND(YEAR(JulSun1+5)=Year,MONTH(JulSun1+5)=7),JulSun1+5, "")</f>
        <v>44743</v>
      </c>
      <c r="G25" s="10">
        <f>IF(AND(YEAR(JulSun1+6)=Year,MONTH(JulSun1+6)=7),JulSun1+6, "")</f>
        <v>44744</v>
      </c>
      <c r="H25" s="11"/>
      <c r="I25" s="10" t="str">
        <f>IF(AND(YEAR(AugSun1)=Year,MONTH(AugSun1)=8),AugSun1, "")</f>
        <v/>
      </c>
      <c r="J25" s="10">
        <f>IF(AND(YEAR(AugSun1+1)=Year,MONTH(AugSun1+1)=8),AugSun1+1, "")</f>
        <v>44774</v>
      </c>
      <c r="K25" s="10">
        <f>IF(AND(YEAR(AugSun1+2)=Year,MONTH(AugSun1+2)=8),AugSun1+2, "")</f>
        <v>44775</v>
      </c>
      <c r="L25" s="10">
        <f>IF(AND(YEAR(AugSun1+3)=Year,MONTH(AugSun1+3)=8),AugSun1+3, "")</f>
        <v>44776</v>
      </c>
      <c r="M25" s="10">
        <f>IF(AND(YEAR(AugSun1+4)=Year,MONTH(AugSun1+4)=8),AugSun1+4, "")</f>
        <v>44777</v>
      </c>
      <c r="N25" s="10">
        <f>IF(AND(YEAR(AugSun1+5)=Year,MONTH(AugSun1+5)=8),AugSun1+5, "")</f>
        <v>44778</v>
      </c>
      <c r="O25" s="10">
        <f>IF(AND(YEAR(AugSun1+6)=Year,MONTH(AugSun1+6)=8),AugSun1+6, "")</f>
        <v>44779</v>
      </c>
      <c r="P25" s="11"/>
      <c r="Q25" s="10" t="str">
        <f>IF(AND(YEAR(SepSun1)=Year,MONTH(SepSun1)=9),SepSun1, "")</f>
        <v/>
      </c>
      <c r="R25" s="10" t="str">
        <f>IF(AND(YEAR(SepSun1+1)=Year,MONTH(SepSun1+1)=9),SepSun1+1, "")</f>
        <v/>
      </c>
      <c r="S25" s="10" t="str">
        <f>IF(AND(YEAR(SepSun1+2)=Year,MONTH(SepSun1+2)=9),SepSun1+2, "")</f>
        <v/>
      </c>
      <c r="T25" s="10" t="str">
        <f>IF(AND(YEAR(SepSun1+3)=Year,MONTH(SepSun1+3)=9),SepSun1+3, "")</f>
        <v/>
      </c>
      <c r="U25" s="10">
        <f>IF(AND(YEAR(SepSun1+4)=Year,MONTH(SepSun1+4)=9),SepSun1+4, "")</f>
        <v>44805</v>
      </c>
      <c r="V25" s="10">
        <f>IF(AND(YEAR(SepSun1+5)=Year,MONTH(SepSun1+5)=9),SepSun1+5, "")</f>
        <v>44806</v>
      </c>
      <c r="W25" s="10">
        <f>IF(AND(YEAR(SepSun1+6)=Year,MONTH(SepSun1+6)=9),SepSun1+6, "")</f>
        <v>44807</v>
      </c>
    </row>
    <row r="26" spans="1:23" ht="24.95" customHeight="1" x14ac:dyDescent="0.4">
      <c r="A26" s="10">
        <f>IF(AND(YEAR(JulSun1+7)=Year,MONTH(JulSun1+7)=7),JulSun1+7, "")</f>
        <v>44745</v>
      </c>
      <c r="B26" s="18">
        <f>IF(AND(YEAR(JulSun1+8)=Year,MONTH(JulSun1+8)=7),JulSun1+8, "")</f>
        <v>44746</v>
      </c>
      <c r="C26" s="10">
        <f>IF(AND(YEAR(JulSun1+9)=Year,MONTH(JulSun1+9)=7),JulSun1+9, "")</f>
        <v>44747</v>
      </c>
      <c r="D26" s="10">
        <f>IF(AND(YEAR(JulSun1+10)=Year,MONTH(JulSun1+10)=7),JulSun1+10, "")</f>
        <v>44748</v>
      </c>
      <c r="E26" s="10">
        <f>IF(AND(YEAR(JulSun1+11)=Year,MONTH(JulSun1+11)=7),JulSun1+11, "")</f>
        <v>44749</v>
      </c>
      <c r="F26" s="10">
        <f>IF(AND(YEAR(JulSun1+12)=Year,MONTH(JulSun1+12)=7),JulSun1+12, "")</f>
        <v>44750</v>
      </c>
      <c r="G26" s="10">
        <f>IF(AND(YEAR(JulSun1+13)=Year,MONTH(JulSun1+13)=7),JulSun1+13, "")</f>
        <v>44751</v>
      </c>
      <c r="H26" s="11"/>
      <c r="I26" s="10">
        <f>IF(AND(YEAR(AugSun1+7)=Year,MONTH(AugSun1+7)=8),AugSun1+7, "")</f>
        <v>44780</v>
      </c>
      <c r="J26" s="10">
        <f>IF(AND(YEAR(AugSun1+8)=Year,MONTH(AugSun1+8)=8),AugSun1+8, "")</f>
        <v>44781</v>
      </c>
      <c r="K26" s="10">
        <f>IF(AND(YEAR(AugSun1+9)=Year,MONTH(AugSun1+9)=8),AugSun1+9, "")</f>
        <v>44782</v>
      </c>
      <c r="L26" s="10">
        <f>IF(AND(YEAR(AugSun1+10)=Year,MONTH(AugSun1+10)=8),AugSun1+10, "")</f>
        <v>44783</v>
      </c>
      <c r="M26" s="10">
        <f>IF(AND(YEAR(AugSun1+11)=Year,MONTH(AugSun1+11)=8),AugSun1+11, "")</f>
        <v>44784</v>
      </c>
      <c r="N26" s="10">
        <f>IF(AND(YEAR(AugSun1+12)=Year,MONTH(AugSun1+12)=8),AugSun1+12, "")</f>
        <v>44785</v>
      </c>
      <c r="O26" s="10">
        <f>IF(AND(YEAR(AugSun1+13)=Year,MONTH(AugSun1+13)=8),AugSun1+13, "")</f>
        <v>44786</v>
      </c>
      <c r="P26" s="11"/>
      <c r="Q26" s="10">
        <f>IF(AND(YEAR(SepSun1+7)=Year,MONTH(SepSun1+7)=9),SepSun1+7, "")</f>
        <v>44808</v>
      </c>
      <c r="R26" s="18">
        <f>IF(AND(YEAR(SepSun1+8)=Year,MONTH(SepSun1+8)=9),SepSun1+8, "")</f>
        <v>44809</v>
      </c>
      <c r="S26" s="10">
        <f>IF(AND(YEAR(SepSun1+9)=Year,MONTH(SepSun1+9)=9),SepSun1+9, "")</f>
        <v>44810</v>
      </c>
      <c r="T26" s="10">
        <f>IF(AND(YEAR(SepSun1+10)=Year,MONTH(SepSun1+10)=9),SepSun1+10, "")</f>
        <v>44811</v>
      </c>
      <c r="U26" s="10">
        <f>IF(AND(YEAR(SepSun1+11)=Year,MONTH(SepSun1+11)=9),SepSun1+11, "")</f>
        <v>44812</v>
      </c>
      <c r="V26" s="10">
        <f>IF(AND(YEAR(SepSun1+12)=Year,MONTH(SepSun1+12)=9),SepSun1+12, "")</f>
        <v>44813</v>
      </c>
      <c r="W26" s="10">
        <f>IF(AND(YEAR(SepSun1+13)=Year,MONTH(SepSun1+13)=9),SepSun1+13, "")</f>
        <v>44814</v>
      </c>
    </row>
    <row r="27" spans="1:23" ht="24.95" customHeight="1" x14ac:dyDescent="0.4">
      <c r="A27" s="10">
        <f>IF(AND(YEAR(JulSun1+14)=Year,MONTH(JulSun1+14)=7),JulSun1+14, "")</f>
        <v>44752</v>
      </c>
      <c r="B27" s="10">
        <f>IF(AND(YEAR(JulSun1+15)=Year,MONTH(JulSun1+15)=7),JulSun1+15, "")</f>
        <v>44753</v>
      </c>
      <c r="C27" s="10">
        <f>IF(AND(YEAR(JulSun1+16)=Year,MONTH(JulSun1+16)=7),JulSun1+16, "")</f>
        <v>44754</v>
      </c>
      <c r="D27" s="10">
        <f>IF(AND(YEAR(JulSun1+17)=Year,MONTH(JulSun1+17)=7),JulSun1+17, "")</f>
        <v>44755</v>
      </c>
      <c r="E27" s="10">
        <f>IF(AND(YEAR(JulSun1+18)=Year,MONTH(JulSun1+18)=7),JulSun1+18, "")</f>
        <v>44756</v>
      </c>
      <c r="F27" s="10">
        <f>IF(AND(YEAR(JulSun1+19)=Year,MONTH(JulSun1+19)=7),JulSun1+19, "")</f>
        <v>44757</v>
      </c>
      <c r="G27" s="10">
        <f>IF(AND(YEAR(JulSun1+20)=Year,MONTH(JulSun1+20)=7),JulSun1+20, "")</f>
        <v>44758</v>
      </c>
      <c r="H27" s="11"/>
      <c r="I27" s="10">
        <f>IF(AND(YEAR(AugSun1+14)=Year,MONTH(AugSun1+14)=8),AugSun1+14, "")</f>
        <v>44787</v>
      </c>
      <c r="J27" s="10">
        <f>IF(AND(YEAR(AugSun1+15)=Year,MONTH(AugSun1+15)=8),AugSun1+15, "")</f>
        <v>44788</v>
      </c>
      <c r="K27" s="10">
        <f>IF(AND(YEAR(AugSun1+16)=Year,MONTH(AugSun1+16)=8),AugSun1+16, "")</f>
        <v>44789</v>
      </c>
      <c r="L27" s="10">
        <f>IF(AND(YEAR(AugSun1+17)=Year,MONTH(AugSun1+17)=8),AugSun1+17, "")</f>
        <v>44790</v>
      </c>
      <c r="M27" s="10">
        <f>IF(AND(YEAR(AugSun1+18)=Year,MONTH(AugSun1+18)=8),AugSun1+18, "")</f>
        <v>44791</v>
      </c>
      <c r="N27" s="10">
        <f>IF(AND(YEAR(AugSun1+19)=Year,MONTH(AugSun1+19)=8),AugSun1+19, "")</f>
        <v>44792</v>
      </c>
      <c r="O27" s="10">
        <f>IF(AND(YEAR(AugSun1+20)=Year,MONTH(AugSun1+20)=8),AugSun1+20, "")</f>
        <v>44793</v>
      </c>
      <c r="P27" s="11"/>
      <c r="Q27" s="10">
        <f>IF(AND(YEAR(SepSun1+14)=Year,MONTH(SepSun1+14)=9),SepSun1+14, "")</f>
        <v>44815</v>
      </c>
      <c r="R27" s="10">
        <f>IF(AND(YEAR(SepSun1+15)=Year,MONTH(SepSun1+15)=9),SepSun1+15, "")</f>
        <v>44816</v>
      </c>
      <c r="S27" s="10">
        <f>IF(AND(YEAR(SepSun1+16)=Year,MONTH(SepSun1+16)=9),SepSun1+16, "")</f>
        <v>44817</v>
      </c>
      <c r="T27" s="10">
        <f>IF(AND(YEAR(SepSun1+17)=Year,MONTH(SepSun1+17)=9),SepSun1+17, "")</f>
        <v>44818</v>
      </c>
      <c r="U27" s="10">
        <f>IF(AND(YEAR(SepSun1+18)=Year,MONTH(SepSun1+18)=9),SepSun1+18, "")</f>
        <v>44819</v>
      </c>
      <c r="V27" s="10">
        <f>IF(AND(YEAR(SepSun1+19)=Year,MONTH(SepSun1+19)=9),SepSun1+19, "")</f>
        <v>44820</v>
      </c>
      <c r="W27" s="10">
        <f>IF(AND(YEAR(SepSun1+20)=Year,MONTH(SepSun1+20)=9),SepSun1+20, "")</f>
        <v>44821</v>
      </c>
    </row>
    <row r="28" spans="1:23" ht="24.95" customHeight="1" x14ac:dyDescent="0.4">
      <c r="A28" s="10">
        <f>IF(AND(YEAR(JulSun1+21)=Year,MONTH(JulSun1+21)=7),JulSun1+21, "")</f>
        <v>44759</v>
      </c>
      <c r="B28" s="10">
        <f>IF(AND(YEAR(JulSun1+22)=Year,MONTH(JulSun1+22)=7),JulSun1+22, "")</f>
        <v>44760</v>
      </c>
      <c r="C28" s="10">
        <f>IF(AND(YEAR(JulSun1+23)=Year,MONTH(JulSun1+23)=7),JulSun1+23, "")</f>
        <v>44761</v>
      </c>
      <c r="D28" s="10">
        <f>IF(AND(YEAR(JulSun1+24)=Year,MONTH(JulSun1+24)=7),JulSun1+24, "")</f>
        <v>44762</v>
      </c>
      <c r="E28" s="10">
        <f>IF(AND(YEAR(JulSun1+25)=Year,MONTH(JulSun1+25)=7),JulSun1+25, "")</f>
        <v>44763</v>
      </c>
      <c r="F28" s="10">
        <f>IF(AND(YEAR(JulSun1+26)=Year,MONTH(JulSun1+26)=7),JulSun1+26, "")</f>
        <v>44764</v>
      </c>
      <c r="G28" s="10">
        <f>IF(AND(YEAR(JulSun1+27)=Year,MONTH(JulSun1+27)=7),JulSun1+27, "")</f>
        <v>44765</v>
      </c>
      <c r="H28" s="11"/>
      <c r="I28" s="10">
        <f>IF(AND(YEAR(AugSun1+21)=Year,MONTH(AugSun1+21)=8),AugSun1+21, "")</f>
        <v>44794</v>
      </c>
      <c r="J28" s="10">
        <f>IF(AND(YEAR(AugSun1+22)=Year,MONTH(AugSun1+22)=8),AugSun1+22, "")</f>
        <v>44795</v>
      </c>
      <c r="K28" s="10">
        <f>IF(AND(YEAR(AugSun1+23)=Year,MONTH(AugSun1+23)=8),AugSun1+23, "")</f>
        <v>44796</v>
      </c>
      <c r="L28" s="10">
        <f>IF(AND(YEAR(AugSun1+24)=Year,MONTH(AugSun1+24)=8),AugSun1+24, "")</f>
        <v>44797</v>
      </c>
      <c r="M28" s="10">
        <f>IF(AND(YEAR(AugSun1+25)=Year,MONTH(AugSun1+25)=8),AugSun1+25, "")</f>
        <v>44798</v>
      </c>
      <c r="N28" s="10">
        <f>IF(AND(YEAR(AugSun1+26)=Year,MONTH(AugSun1+26)=8),AugSun1+26, "")</f>
        <v>44799</v>
      </c>
      <c r="O28" s="10">
        <f>IF(AND(YEAR(AugSun1+27)=Year,MONTH(AugSun1+27)=8),AugSun1+27, "")</f>
        <v>44800</v>
      </c>
      <c r="P28" s="11"/>
      <c r="Q28" s="10">
        <f>IF(AND(YEAR(SepSun1+21)=Year,MONTH(SepSun1+21)=9),SepSun1+21, "")</f>
        <v>44822</v>
      </c>
      <c r="R28" s="10">
        <f>IF(AND(YEAR(SepSun1+22)=Year,MONTH(SepSun1+22)=9),SepSun1+22, "")</f>
        <v>44823</v>
      </c>
      <c r="S28" s="10">
        <f>IF(AND(YEAR(SepSun1+23)=Year,MONTH(SepSun1+23)=9),SepSun1+23, "")</f>
        <v>44824</v>
      </c>
      <c r="T28" s="10">
        <f>IF(AND(YEAR(SepSun1+24)=Year,MONTH(SepSun1+24)=9),SepSun1+24, "")</f>
        <v>44825</v>
      </c>
      <c r="U28" s="10">
        <f>IF(AND(YEAR(SepSun1+25)=Year,MONTH(SepSun1+25)=9),SepSun1+25, "")</f>
        <v>44826</v>
      </c>
      <c r="V28" s="10">
        <f>IF(AND(YEAR(SepSun1+26)=Year,MONTH(SepSun1+26)=9),SepSun1+26, "")</f>
        <v>44827</v>
      </c>
      <c r="W28" s="10">
        <f>IF(AND(YEAR(SepSun1+27)=Year,MONTH(SepSun1+27)=9),SepSun1+27, "")</f>
        <v>44828</v>
      </c>
    </row>
    <row r="29" spans="1:23" ht="24.95" customHeight="1" x14ac:dyDescent="0.4">
      <c r="A29" s="10">
        <f>IF(AND(YEAR(JulSun1+28)=Year,MONTH(JulSun1+28)=7),JulSun1+28, "")</f>
        <v>44766</v>
      </c>
      <c r="B29" s="10">
        <f>IF(AND(YEAR(JulSun1+29)=Year,MONTH(JulSun1+29)=7),JulSun1+29, "")</f>
        <v>44767</v>
      </c>
      <c r="C29" s="10">
        <f>IF(AND(YEAR(JulSun1+30)=Year,MONTH(JulSun1+30)=7),JulSun1+30, "")</f>
        <v>44768</v>
      </c>
      <c r="D29" s="10">
        <f>IF(AND(YEAR(JulSun1+31)=Year,MONTH(JulSun1+31)=7),JulSun1+31, "")</f>
        <v>44769</v>
      </c>
      <c r="E29" s="10">
        <f>IF(AND(YEAR(JulSun1+32)=Year,MONTH(JulSun1+32)=7),JulSun1+32, "")</f>
        <v>44770</v>
      </c>
      <c r="F29" s="10">
        <f>IF(AND(YEAR(JulSun1+33)=Year,MONTH(JulSun1+33)=7),JulSun1+33, "")</f>
        <v>44771</v>
      </c>
      <c r="G29" s="10">
        <f>IF(AND(YEAR(JulSun1+34)=Year,MONTH(JulSun1+34)=7),JulSun1+34, "")</f>
        <v>44772</v>
      </c>
      <c r="H29" s="11"/>
      <c r="I29" s="10">
        <f>IF(AND(YEAR(AugSun1+28)=Year,MONTH(AugSun1+28)=8),AugSun1+28, "")</f>
        <v>44801</v>
      </c>
      <c r="J29" s="10">
        <f>IF(AND(YEAR(AugSun1+29)=Year,MONTH(AugSun1+29)=8),AugSun1+29, "")</f>
        <v>44802</v>
      </c>
      <c r="K29" s="10">
        <f>IF(AND(YEAR(AugSun1+30)=Year,MONTH(AugSun1+30)=8),AugSun1+30, "")</f>
        <v>44803</v>
      </c>
      <c r="L29" s="10">
        <f>IF(AND(YEAR(AugSun1+31)=Year,MONTH(AugSun1+31)=8),AugSun1+31, "")</f>
        <v>44804</v>
      </c>
      <c r="M29" s="10" t="str">
        <f>IF(AND(YEAR(AugSun1+32)=Year,MONTH(AugSun1+32)=8),AugSun1+32, "")</f>
        <v/>
      </c>
      <c r="N29" s="10" t="str">
        <f>IF(AND(YEAR(AugSun1+33)=Year,MONTH(AugSun1+33)=8),AugSun1+33, "")</f>
        <v/>
      </c>
      <c r="O29" s="10" t="str">
        <f>IF(AND(YEAR(AugSun1+34)=Year,MONTH(AugSun1+34)=8),AugSun1+34, "")</f>
        <v/>
      </c>
      <c r="P29" s="11"/>
      <c r="Q29" s="10">
        <f>IF(AND(YEAR(SepSun1+28)=Year,MONTH(SepSun1+28)=9),SepSun1+28, "")</f>
        <v>44829</v>
      </c>
      <c r="R29" s="10">
        <f>IF(AND(YEAR(SepSun1+29)=Year,MONTH(SepSun1+29)=9),SepSun1+29, "")</f>
        <v>44830</v>
      </c>
      <c r="S29" s="10">
        <f>IF(AND(YEAR(SepSun1+30)=Year,MONTH(SepSun1+30)=9),SepSun1+30, "")</f>
        <v>44831</v>
      </c>
      <c r="T29" s="10">
        <f>IF(AND(YEAR(SepSun1+31)=Year,MONTH(SepSun1+31)=9),SepSun1+31, "")</f>
        <v>44832</v>
      </c>
      <c r="U29" s="10">
        <f>IF(AND(YEAR(SepSun1+32)=Year,MONTH(SepSun1+32)=9),SepSun1+32, "")</f>
        <v>44833</v>
      </c>
      <c r="V29" s="10">
        <f>IF(AND(YEAR(SepSun1+33)=Year,MONTH(SepSun1+33)=9),SepSun1+33, "")</f>
        <v>44834</v>
      </c>
      <c r="W29" s="10" t="str">
        <f>IF(AND(YEAR(SepSun1+34)=Year,MONTH(SepSun1+34)=9),SepSun1+34, "")</f>
        <v/>
      </c>
    </row>
    <row r="30" spans="1:23" ht="24.95" customHeight="1" x14ac:dyDescent="0.4">
      <c r="A30" s="10">
        <f>IF(AND(YEAR(JulSun1+35)=Year,MONTH(JulSun1+35)=7),JulSun1+35, "")</f>
        <v>44773</v>
      </c>
      <c r="B30" s="10" t="str">
        <f>IF(AND(YEAR(JulSun1+36)=Year,MONTH(JulSun1+36)=7),JulSun1+36, "")</f>
        <v/>
      </c>
      <c r="C30" s="10" t="str">
        <f>IF(AND(YEAR(JulSun1+37)=Year,MONTH(JulSun1+37)=7),JulSun1+37, "")</f>
        <v/>
      </c>
      <c r="D30" s="10" t="str">
        <f>IF(AND(YEAR(JulSun1+38)=Year,MONTH(JulSun1+38)=7),JulSun1+38, "")</f>
        <v/>
      </c>
      <c r="E30" s="10" t="str">
        <f>IF(AND(YEAR(JulSun1+39)=Year,MONTH(JulSun1+39)=7),JulSun1+39, "")</f>
        <v/>
      </c>
      <c r="F30" s="10" t="str">
        <f>IF(AND(YEAR(JulSun1+40)=Year,MONTH(JulSun1+40)=7),JulSun1+40, "")</f>
        <v/>
      </c>
      <c r="G30" s="10" t="str">
        <f>IF(AND(YEAR(JulSun1+41)=Year,MONTH(JulSun1+41)=7),JulSun1+41, "")</f>
        <v/>
      </c>
      <c r="H30" s="11"/>
      <c r="I30" s="10" t="str">
        <f>IF(AND(YEAR(AugSun1+35)=Year,MONTH(AugSun1+35)=8),AugSun1+35, "")</f>
        <v/>
      </c>
      <c r="J30" s="10" t="str">
        <f>IF(AND(YEAR(AugSun1+36)=Year,MONTH(AugSun1+36)=8),AugSun1+36, "")</f>
        <v/>
      </c>
      <c r="K30" s="10" t="str">
        <f>IF(AND(YEAR(AugSun1+37)=Year,MONTH(AugSun1+37)=8),AugSun1+37, "")</f>
        <v/>
      </c>
      <c r="L30" s="10" t="str">
        <f>IF(AND(YEAR(AugSun1+38)=Year,MONTH(AugSun1+38)=8),AugSun1+38, "")</f>
        <v/>
      </c>
      <c r="M30" s="10" t="str">
        <f>IF(AND(YEAR(AugSun1+39)=Year,MONTH(AugSun1+39)=8),AugSun1+39, "")</f>
        <v/>
      </c>
      <c r="N30" s="10" t="str">
        <f>IF(AND(YEAR(AugSun1+40)=Year,MONTH(AugSun1+40)=8),AugSun1+40, "")</f>
        <v/>
      </c>
      <c r="O30" s="10" t="str">
        <f>IF(AND(YEAR(AugSun1+41)=Year,MONTH(AugSun1+41)=8),AugSun1+41, "")</f>
        <v/>
      </c>
      <c r="P30" s="11"/>
      <c r="Q30" s="10" t="str">
        <f>IF(AND(YEAR(SepSun1+35)=Year,MONTH(SepSun1+35)=9),SepSun1+35, "")</f>
        <v/>
      </c>
      <c r="R30" s="10" t="str">
        <f>IF(AND(YEAR(SepSun1+36)=Year,MONTH(SepSun1+36)=9),SepSun1+36, "")</f>
        <v/>
      </c>
      <c r="S30" s="10" t="str">
        <f>IF(AND(YEAR(SepSun1+37)=Year,MONTH(SepSun1+37)=9),SepSun1+37, "")</f>
        <v/>
      </c>
      <c r="T30" s="10" t="str">
        <f>IF(AND(YEAR(SepSun1+38)=Year,MONTH(SepSun1+38)=9),SepSun1+38, "")</f>
        <v/>
      </c>
      <c r="U30" s="10" t="str">
        <f>IF(AND(YEAR(SepSun1+39)=Year,MONTH(SepSun1+39)=9),SepSun1+39, "")</f>
        <v/>
      </c>
      <c r="V30" s="10" t="str">
        <f>IF(AND(YEAR(SepSun1+40)=Year,MONTH(SepSun1+40)=9),SepSun1+40, "")</f>
        <v/>
      </c>
      <c r="W30" s="10" t="str">
        <f>IF(AND(YEAR(SepSun1+41)=Year,MONTH(SepSun1+41)=9),SepSun1+41, "")</f>
        <v/>
      </c>
    </row>
    <row r="31" spans="1:23" ht="24.95" customHeight="1" x14ac:dyDescent="0.35"/>
    <row r="32" spans="1:23" ht="24.95" customHeight="1" x14ac:dyDescent="0.45">
      <c r="A32" s="16" t="s">
        <v>8</v>
      </c>
      <c r="B32" s="16"/>
      <c r="C32" s="16"/>
      <c r="D32" s="16"/>
      <c r="E32" s="16"/>
      <c r="F32" s="16"/>
      <c r="G32" s="16"/>
      <c r="H32" s="7"/>
      <c r="I32" s="16" t="s">
        <v>10</v>
      </c>
      <c r="J32" s="16"/>
      <c r="K32" s="16"/>
      <c r="L32" s="16"/>
      <c r="M32" s="16"/>
      <c r="N32" s="16"/>
      <c r="O32" s="16"/>
      <c r="P32" s="7"/>
      <c r="Q32" s="16" t="s">
        <v>11</v>
      </c>
      <c r="R32" s="16"/>
      <c r="S32" s="16"/>
      <c r="T32" s="16"/>
      <c r="U32" s="16"/>
      <c r="V32" s="16"/>
      <c r="W32" s="16"/>
    </row>
    <row r="33" spans="1:23" ht="24.95" customHeight="1" x14ac:dyDescent="0.45">
      <c r="A33" s="8" t="s">
        <v>12</v>
      </c>
      <c r="B33" s="8" t="s">
        <v>13</v>
      </c>
      <c r="C33" s="8" t="s">
        <v>14</v>
      </c>
      <c r="D33" s="8" t="s">
        <v>15</v>
      </c>
      <c r="E33" s="8" t="s">
        <v>14</v>
      </c>
      <c r="F33" s="8" t="s">
        <v>16</v>
      </c>
      <c r="G33" s="8" t="s">
        <v>12</v>
      </c>
      <c r="H33" s="7"/>
      <c r="I33" s="8" t="s">
        <v>12</v>
      </c>
      <c r="J33" s="8" t="s">
        <v>13</v>
      </c>
      <c r="K33" s="8" t="s">
        <v>14</v>
      </c>
      <c r="L33" s="8" t="s">
        <v>15</v>
      </c>
      <c r="M33" s="8" t="s">
        <v>14</v>
      </c>
      <c r="N33" s="8" t="s">
        <v>16</v>
      </c>
      <c r="O33" s="8" t="s">
        <v>12</v>
      </c>
      <c r="P33" s="7"/>
      <c r="Q33" s="8" t="s">
        <v>12</v>
      </c>
      <c r="R33" s="8" t="s">
        <v>13</v>
      </c>
      <c r="S33" s="8" t="s">
        <v>14</v>
      </c>
      <c r="T33" s="8" t="s">
        <v>15</v>
      </c>
      <c r="U33" s="8" t="s">
        <v>14</v>
      </c>
      <c r="V33" s="8" t="s">
        <v>16</v>
      </c>
      <c r="W33" s="8" t="s">
        <v>12</v>
      </c>
    </row>
    <row r="34" spans="1:23" ht="24.95" customHeight="1" x14ac:dyDescent="0.45">
      <c r="A34" s="12" t="str">
        <f>IF(AND(YEAR(OctSun1)=Year,MONTH(OctSun1)=10),OctSun1, "")</f>
        <v/>
      </c>
      <c r="B34" s="12" t="str">
        <f>IF(AND(YEAR(OctSun1+1)=Year,MONTH(OctSun1+1)=10),OctSun1+1, "")</f>
        <v/>
      </c>
      <c r="C34" s="12" t="str">
        <f>IF(AND(YEAR(OctSun1+2)=Year,MONTH(OctSun1+2)=10),OctSun1+2, "")</f>
        <v/>
      </c>
      <c r="D34" s="12" t="str">
        <f>IF(AND(YEAR(OctSun1+3)=Year,MONTH(OctSun1+3)=10),OctSun1+3, "")</f>
        <v/>
      </c>
      <c r="E34" s="12" t="str">
        <f>IF(AND(YEAR(OctSun1+4)=Year,MONTH(OctSun1+4)=10),OctSun1+4, "")</f>
        <v/>
      </c>
      <c r="F34" s="12" t="str">
        <f>IF(AND(YEAR(OctSun1+5)=Year,MONTH(OctSun1+5)=10),OctSun1+5, "")</f>
        <v/>
      </c>
      <c r="G34" s="12">
        <f>IF(AND(YEAR(OctSun1+6)=Year,MONTH(OctSun1+6)=10),OctSun1+6, "")</f>
        <v>44835</v>
      </c>
      <c r="H34" s="13"/>
      <c r="I34" s="12" t="str">
        <f>IF(AND(YEAR(NovSun1)=Year,MONTH(NovSun1)=11),NovSun1, "")</f>
        <v/>
      </c>
      <c r="J34" s="12" t="str">
        <f>IF(AND(YEAR(NovSun1+1)=Year,MONTH(NovSun1+1)=11),NovSun1+1, "")</f>
        <v/>
      </c>
      <c r="K34" s="12">
        <f>IF(AND(YEAR(NovSun1+2)=Year,MONTH(NovSun1+2)=11),NovSun1+2, "")</f>
        <v>44866</v>
      </c>
      <c r="L34" s="12">
        <f>IF(AND(YEAR(NovSun1+3)=Year,MONTH(NovSun1+3)=11),NovSun1+3, "")</f>
        <v>44867</v>
      </c>
      <c r="M34" s="12">
        <f>IF(AND(YEAR(NovSun1+4)=Year,MONTH(NovSun1+4)=11),NovSun1+4, "")</f>
        <v>44868</v>
      </c>
      <c r="N34" s="12">
        <f>IF(AND(YEAR(NovSun1+5)=Year,MONTH(NovSun1+5)=11),NovSun1+5, "")</f>
        <v>44869</v>
      </c>
      <c r="O34" s="12">
        <f>IF(AND(YEAR(NovSun1+6)=Year,MONTH(NovSun1+6)=11),NovSun1+6, "")</f>
        <v>44870</v>
      </c>
      <c r="P34" s="13"/>
      <c r="Q34" s="12" t="str">
        <f>IF(AND(YEAR(DecSun1)=Year,MONTH(DecSun1)=12),DecSun1, "")</f>
        <v/>
      </c>
      <c r="R34" s="12" t="str">
        <f>IF(AND(YEAR(DecSun1+1)=Year,MONTH(DecSun1+1)=12),DecSun1+1, "")</f>
        <v/>
      </c>
      <c r="S34" s="12" t="str">
        <f>IF(AND(YEAR(DecSun1+2)=Year,MONTH(DecSun1+2)=12),DecSun1+2, "")</f>
        <v/>
      </c>
      <c r="T34" s="12" t="str">
        <f>IF(AND(YEAR(DecSun1+3)=Year,MONTH(DecSun1+3)=12),DecSun1+3, "")</f>
        <v/>
      </c>
      <c r="U34" s="12">
        <f>IF(AND(YEAR(DecSun1+4)=Year,MONTH(DecSun1+4)=12),DecSun1+4, "")</f>
        <v>44896</v>
      </c>
      <c r="V34" s="12">
        <f>IF(AND(YEAR(DecSun1+5)=Year,MONTH(DecSun1+5)=12),DecSun1+5, "")</f>
        <v>44897</v>
      </c>
      <c r="W34" s="12">
        <f>IF(AND(YEAR(DecSun1+6)=Year,MONTH(DecSun1+6)=12),DecSun1+6, "")</f>
        <v>44898</v>
      </c>
    </row>
    <row r="35" spans="1:23" ht="24.95" customHeight="1" x14ac:dyDescent="0.45">
      <c r="A35" s="12">
        <f>IF(AND(YEAR(OctSun1+7)=Year,MONTH(OctSun1+7)=10),OctSun1+7, "")</f>
        <v>44836</v>
      </c>
      <c r="B35" s="12">
        <f>IF(AND(YEAR(OctSun1+8)=Year,MONTH(OctSun1+8)=10),OctSun1+8, "")</f>
        <v>44837</v>
      </c>
      <c r="C35" s="12">
        <f>IF(AND(YEAR(OctSun1+9)=Year,MONTH(OctSun1+9)=10),OctSun1+9, "")</f>
        <v>44838</v>
      </c>
      <c r="D35" s="12">
        <f>IF(AND(YEAR(OctSun1+10)=Year,MONTH(OctSun1+10)=10),OctSun1+10, "")</f>
        <v>44839</v>
      </c>
      <c r="E35" s="12">
        <f>IF(AND(YEAR(OctSun1+11)=Year,MONTH(OctSun1+11)=10),OctSun1+11, "")</f>
        <v>44840</v>
      </c>
      <c r="F35" s="12">
        <f>IF(AND(YEAR(OctSun1+12)=Year,MONTH(OctSun1+12)=10),OctSun1+12, "")</f>
        <v>44841</v>
      </c>
      <c r="G35" s="12">
        <f>IF(AND(YEAR(OctSun1+13)=Year,MONTH(OctSun1+13)=10),OctSun1+13, "")</f>
        <v>44842</v>
      </c>
      <c r="H35" s="13"/>
      <c r="I35" s="12">
        <f>IF(AND(YEAR(NovSun1+7)=Year,MONTH(NovSun1+7)=11),NovSun1+7, "")</f>
        <v>44871</v>
      </c>
      <c r="J35" s="12">
        <f>IF(AND(YEAR(NovSun1+8)=Year,MONTH(NovSun1+8)=11),NovSun1+8, "")</f>
        <v>44872</v>
      </c>
      <c r="K35" s="12">
        <f>IF(AND(YEAR(NovSun1+9)=Year,MONTH(NovSun1+9)=11),NovSun1+9, "")</f>
        <v>44873</v>
      </c>
      <c r="L35" s="12">
        <f>IF(AND(YEAR(NovSun1+10)=Year,MONTH(NovSun1+10)=11),NovSun1+10, "")</f>
        <v>44874</v>
      </c>
      <c r="M35" s="12">
        <f>IF(AND(YEAR(NovSun1+11)=Year,MONTH(NovSun1+11)=11),NovSun1+11, "")</f>
        <v>44875</v>
      </c>
      <c r="N35" s="19">
        <f>IF(AND(YEAR(NovSun1+12)=Year,MONTH(NovSun1+12)=11),NovSun1+12, "")</f>
        <v>44876</v>
      </c>
      <c r="O35" s="12">
        <f>IF(AND(YEAR(NovSun1+13)=Year,MONTH(NovSun1+13)=11),NovSun1+13, "")</f>
        <v>44877</v>
      </c>
      <c r="P35" s="13"/>
      <c r="Q35" s="12">
        <f>IF(AND(YEAR(DecSun1+7)=Year,MONTH(DecSun1+7)=12),DecSun1+7, "")</f>
        <v>44899</v>
      </c>
      <c r="R35" s="12">
        <f>IF(AND(YEAR(DecSun1+8)=Year,MONTH(DecSun1+8)=12),DecSun1+8, "")</f>
        <v>44900</v>
      </c>
      <c r="S35" s="12">
        <f>IF(AND(YEAR(DecSun1+9)=Year,MONTH(DecSun1+9)=12),DecSun1+9, "")</f>
        <v>44901</v>
      </c>
      <c r="T35" s="12">
        <f>IF(AND(YEAR(DecSun1+10)=Year,MONTH(DecSun1+10)=12),DecSun1+10, "")</f>
        <v>44902</v>
      </c>
      <c r="U35" s="12">
        <f>IF(AND(YEAR(DecSun1+11)=Year,MONTH(DecSun1+11)=12),DecSun1+11, "")</f>
        <v>44903</v>
      </c>
      <c r="V35" s="12">
        <f>IF(AND(YEAR(DecSun1+12)=Year,MONTH(DecSun1+12)=12),DecSun1+12, "")</f>
        <v>44904</v>
      </c>
      <c r="W35" s="12">
        <f>IF(AND(YEAR(DecSun1+13)=Year,MONTH(DecSun1+13)=12),DecSun1+13, "")</f>
        <v>44905</v>
      </c>
    </row>
    <row r="36" spans="1:23" ht="24.95" customHeight="1" x14ac:dyDescent="0.45">
      <c r="A36" s="12">
        <f>IF(AND(YEAR(OctSun1+14)=Year,MONTH(OctSun1+14)=10),OctSun1+14, "")</f>
        <v>44843</v>
      </c>
      <c r="B36" s="19">
        <f>IF(AND(YEAR(OctSun1+15)=Year,MONTH(OctSun1+15)=10),OctSun1+15, "")</f>
        <v>44844</v>
      </c>
      <c r="C36" s="12">
        <f>IF(AND(YEAR(OctSun1+16)=Year,MONTH(OctSun1+16)=10),OctSun1+16, "")</f>
        <v>44845</v>
      </c>
      <c r="D36" s="12">
        <f>IF(AND(YEAR(OctSun1+17)=Year,MONTH(OctSun1+17)=10),OctSun1+17, "")</f>
        <v>44846</v>
      </c>
      <c r="E36" s="12">
        <f>IF(AND(YEAR(OctSun1+18)=Year,MONTH(OctSun1+18)=10),OctSun1+18, "")</f>
        <v>44847</v>
      </c>
      <c r="F36" s="12">
        <f>IF(AND(YEAR(OctSun1+19)=Year,MONTH(OctSun1+19)=10),OctSun1+19, "")</f>
        <v>44848</v>
      </c>
      <c r="G36" s="12">
        <f>IF(AND(YEAR(OctSun1+20)=Year,MONTH(OctSun1+20)=10),OctSun1+20, "")</f>
        <v>44849</v>
      </c>
      <c r="H36" s="13"/>
      <c r="I36" s="12">
        <f>IF(AND(YEAR(NovSun1+14)=Year,MONTH(NovSun1+14)=11),NovSun1+14, "")</f>
        <v>44878</v>
      </c>
      <c r="J36" s="12">
        <f>IF(AND(YEAR(NovSun1+15)=Year,MONTH(NovSun1+15)=11),NovSun1+15, "")</f>
        <v>44879</v>
      </c>
      <c r="K36" s="12">
        <f>IF(AND(YEAR(NovSun1+16)=Year,MONTH(NovSun1+16)=11),NovSun1+16, "")</f>
        <v>44880</v>
      </c>
      <c r="L36" s="12">
        <f>IF(AND(YEAR(NovSun1+17)=Year,MONTH(NovSun1+17)=11),NovSun1+17, "")</f>
        <v>44881</v>
      </c>
      <c r="M36" s="12">
        <f>IF(AND(YEAR(NovSun1+18)=Year,MONTH(NovSun1+18)=11),NovSun1+18, "")</f>
        <v>44882</v>
      </c>
      <c r="N36" s="12">
        <f>IF(AND(YEAR(NovSun1+19)=Year,MONTH(NovSun1+19)=11),NovSun1+19, "")</f>
        <v>44883</v>
      </c>
      <c r="O36" s="12">
        <f>IF(AND(YEAR(NovSun1+20)=Year,MONTH(NovSun1+20)=11),NovSun1+20, "")</f>
        <v>44884</v>
      </c>
      <c r="P36" s="13"/>
      <c r="Q36" s="12">
        <f>IF(AND(YEAR(DecSun1+14)=Year,MONTH(DecSun1+14)=12),DecSun1+14, "")</f>
        <v>44906</v>
      </c>
      <c r="R36" s="12">
        <f>IF(AND(YEAR(DecSun1+15)=Year,MONTH(DecSun1+15)=12),DecSun1+15, "")</f>
        <v>44907</v>
      </c>
      <c r="S36" s="12">
        <f>IF(AND(YEAR(DecSun1+16)=Year,MONTH(DecSun1+16)=12),DecSun1+16, "")</f>
        <v>44908</v>
      </c>
      <c r="T36" s="12">
        <f>IF(AND(YEAR(DecSun1+17)=Year,MONTH(DecSun1+17)=12),DecSun1+17, "")</f>
        <v>44909</v>
      </c>
      <c r="U36" s="12">
        <f>IF(AND(YEAR(DecSun1+18)=Year,MONTH(DecSun1+18)=12),DecSun1+18, "")</f>
        <v>44910</v>
      </c>
      <c r="V36" s="12">
        <f>IF(AND(YEAR(DecSun1+19)=Year,MONTH(DecSun1+19)=12),DecSun1+19, "")</f>
        <v>44911</v>
      </c>
      <c r="W36" s="12">
        <f>IF(AND(YEAR(DecSun1+20)=Year,MONTH(DecSun1+20)=12),DecSun1+20, "")</f>
        <v>44912</v>
      </c>
    </row>
    <row r="37" spans="1:23" ht="24.95" customHeight="1" x14ac:dyDescent="0.45">
      <c r="A37" s="12">
        <f>IF(AND(YEAR(OctSun1+21)=Year,MONTH(OctSun1+21)=10),OctSun1+21, "")</f>
        <v>44850</v>
      </c>
      <c r="B37" s="12">
        <f>IF(AND(YEAR(OctSun1+22)=Year,MONTH(OctSun1+22)=10),OctSun1+22, "")</f>
        <v>44851</v>
      </c>
      <c r="C37" s="12">
        <f>IF(AND(YEAR(OctSun1+23)=Year,MONTH(OctSun1+23)=10),OctSun1+23, "")</f>
        <v>44852</v>
      </c>
      <c r="D37" s="12">
        <f>IF(AND(YEAR(OctSun1+24)=Year,MONTH(OctSun1+24)=10),OctSun1+24, "")</f>
        <v>44853</v>
      </c>
      <c r="E37" s="12">
        <f>IF(AND(YEAR(OctSun1+25)=Year,MONTH(OctSun1+25)=10),OctSun1+25, "")</f>
        <v>44854</v>
      </c>
      <c r="F37" s="12">
        <f>IF(AND(YEAR(OctSun1+26)=Year,MONTH(OctSun1+26)=10),OctSun1+26, "")</f>
        <v>44855</v>
      </c>
      <c r="G37" s="12">
        <f>IF(AND(YEAR(OctSun1+27)=Year,MONTH(OctSun1+27)=10),OctSun1+27, "")</f>
        <v>44856</v>
      </c>
      <c r="H37" s="13"/>
      <c r="I37" s="12">
        <f>IF(AND(YEAR(NovSun1+21)=Year,MONTH(NovSun1+21)=11),NovSun1+21, "")</f>
        <v>44885</v>
      </c>
      <c r="J37" s="12">
        <f>IF(AND(YEAR(NovSun1+22)=Year,MONTH(NovSun1+22)=11),NovSun1+22, "")</f>
        <v>44886</v>
      </c>
      <c r="K37" s="12">
        <f>IF(AND(YEAR(NovSun1+23)=Year,MONTH(NovSun1+23)=11),NovSun1+23, "")</f>
        <v>44887</v>
      </c>
      <c r="L37" s="12">
        <f>IF(AND(YEAR(NovSun1+24)=Year,MONTH(NovSun1+24)=11),NovSun1+24, "")</f>
        <v>44888</v>
      </c>
      <c r="M37" s="19">
        <f>IF(AND(YEAR(NovSun1+25)=Year,MONTH(NovSun1+25)=11),NovSun1+25, "")</f>
        <v>44889</v>
      </c>
      <c r="N37" s="12">
        <f>IF(AND(YEAR(NovSun1+26)=Year,MONTH(NovSun1+26)=11),NovSun1+26, "")</f>
        <v>44890</v>
      </c>
      <c r="O37" s="12">
        <f>IF(AND(YEAR(NovSun1+27)=Year,MONTH(NovSun1+27)=11),NovSun1+27, "")</f>
        <v>44891</v>
      </c>
      <c r="P37" s="13"/>
      <c r="Q37" s="12">
        <f>IF(AND(YEAR(DecSun1+21)=Year,MONTH(DecSun1+21)=12),DecSun1+21, "")</f>
        <v>44913</v>
      </c>
      <c r="R37" s="12">
        <f>IF(AND(YEAR(DecSun1+22)=Year,MONTH(DecSun1+22)=12),DecSun1+22, "")</f>
        <v>44914</v>
      </c>
      <c r="S37" s="12">
        <f>IF(AND(YEAR(DecSun1+23)=Year,MONTH(DecSun1+23)=12),DecSun1+23, "")</f>
        <v>44915</v>
      </c>
      <c r="T37" s="12">
        <f>IF(AND(YEAR(DecSun1+24)=Year,MONTH(DecSun1+24)=12),DecSun1+24, "")</f>
        <v>44916</v>
      </c>
      <c r="U37" s="12">
        <f>IF(AND(YEAR(DecSun1+25)=Year,MONTH(DecSun1+25)=12),DecSun1+25, "")</f>
        <v>44917</v>
      </c>
      <c r="V37" s="12">
        <f>IF(AND(YEAR(DecSun1+26)=Year,MONTH(DecSun1+26)=12),DecSun1+26, "")</f>
        <v>44918</v>
      </c>
      <c r="W37" s="12">
        <f>IF(AND(YEAR(DecSun1+27)=Year,MONTH(DecSun1+27)=12),DecSun1+27, "")</f>
        <v>44919</v>
      </c>
    </row>
    <row r="38" spans="1:23" ht="24.95" customHeight="1" x14ac:dyDescent="0.45">
      <c r="A38" s="12">
        <f>IF(AND(YEAR(OctSun1+28)=Year,MONTH(OctSun1+28)=10),OctSun1+28, "")</f>
        <v>44857</v>
      </c>
      <c r="B38" s="12">
        <f>IF(AND(YEAR(OctSun1+29)=Year,MONTH(OctSun1+29)=10),OctSun1+29, "")</f>
        <v>44858</v>
      </c>
      <c r="C38" s="12">
        <f>IF(AND(YEAR(OctSun1+30)=Year,MONTH(OctSun1+30)=10),OctSun1+30, "")</f>
        <v>44859</v>
      </c>
      <c r="D38" s="12">
        <f>IF(AND(YEAR(OctSun1+31)=Year,MONTH(OctSun1+31)=10),OctSun1+31, "")</f>
        <v>44860</v>
      </c>
      <c r="E38" s="12">
        <f>IF(AND(YEAR(OctSun1+32)=Year,MONTH(OctSun1+32)=10),OctSun1+32, "")</f>
        <v>44861</v>
      </c>
      <c r="F38" s="12">
        <f>IF(AND(YEAR(OctSun1+33)=Year,MONTH(OctSun1+33)=10),OctSun1+33, "")</f>
        <v>44862</v>
      </c>
      <c r="G38" s="12">
        <f>IF(AND(YEAR(OctSun1+34)=Year,MONTH(OctSun1+34)=10),OctSun1+34, "")</f>
        <v>44863</v>
      </c>
      <c r="H38" s="13"/>
      <c r="I38" s="12">
        <f>IF(AND(YEAR(NovSun1+28)=Year,MONTH(NovSun1+28)=11),NovSun1+28, "")</f>
        <v>44892</v>
      </c>
      <c r="J38" s="12">
        <f>IF(AND(YEAR(NovSun1+29)=Year,MONTH(NovSun1+29)=11),NovSun1+29, "")</f>
        <v>44893</v>
      </c>
      <c r="K38" s="12">
        <f>IF(AND(YEAR(NovSun1+30)=Year,MONTH(NovSun1+30)=11),NovSun1+30, "")</f>
        <v>44894</v>
      </c>
      <c r="L38" s="12">
        <f>IF(AND(YEAR(NovSun1+31)=Year,MONTH(NovSun1+31)=11),NovSun1+31, "")</f>
        <v>44895</v>
      </c>
      <c r="M38" s="12" t="str">
        <f>IF(AND(YEAR(NovSun1+32)=Year,MONTH(NovSun1+32)=11),NovSun1+32, "")</f>
        <v/>
      </c>
      <c r="N38" s="12" t="str">
        <f>IF(AND(YEAR(NovSun1+33)=Year,MONTH(NovSun1+33)=11),NovSun1+33, "")</f>
        <v/>
      </c>
      <c r="O38" s="12" t="str">
        <f>IF(AND(YEAR(NovSun1+34)=Year,MONTH(NovSun1+34)=11),NovSun1+34, "")</f>
        <v/>
      </c>
      <c r="P38" s="13"/>
      <c r="Q38" s="12">
        <f>IF(AND(YEAR(DecSun1+28)=Year,MONTH(DecSun1+28)=12),DecSun1+28, "")</f>
        <v>44920</v>
      </c>
      <c r="R38" s="19">
        <f>IF(AND(YEAR(DecSun1+29)=Year,MONTH(DecSun1+29)=12),DecSun1+29, "")</f>
        <v>44921</v>
      </c>
      <c r="S38" s="12">
        <f>IF(AND(YEAR(DecSun1+30)=Year,MONTH(DecSun1+30)=12),DecSun1+30, "")</f>
        <v>44922</v>
      </c>
      <c r="T38" s="12">
        <f>IF(AND(YEAR(DecSun1+31)=Year,MONTH(DecSun1+31)=12),DecSun1+31, "")</f>
        <v>44923</v>
      </c>
      <c r="U38" s="12">
        <f>IF(AND(YEAR(DecSun1+32)=Year,MONTH(DecSun1+32)=12),DecSun1+32, "")</f>
        <v>44924</v>
      </c>
      <c r="V38" s="12">
        <f>IF(AND(YEAR(DecSun1+33)=Year,MONTH(DecSun1+33)=12),DecSun1+33, "")</f>
        <v>44925</v>
      </c>
      <c r="W38" s="12">
        <f>IF(AND(YEAR(DecSun1+34)=Year,MONTH(DecSun1+34)=12),DecSun1+34, "")</f>
        <v>44926</v>
      </c>
    </row>
    <row r="39" spans="1:23" ht="24.95" customHeight="1" x14ac:dyDescent="0.45">
      <c r="A39" s="12">
        <f>IF(AND(YEAR(OctSun1+35)=Year,MONTH(OctSun1+35)=10),OctSun1+35, "")</f>
        <v>44864</v>
      </c>
      <c r="B39" s="12">
        <f>IF(AND(YEAR(OctSun1+36)=Year,MONTH(OctSun1+36)=10),OctSun1+36, "")</f>
        <v>44865</v>
      </c>
      <c r="C39" s="12" t="str">
        <f>IF(AND(YEAR(OctSun1+37)=Year,MONTH(OctSun1+37)=10),OctSun1+37, "")</f>
        <v/>
      </c>
      <c r="D39" s="12" t="str">
        <f>IF(AND(YEAR(OctSun1+38)=Year,MONTH(OctSun1+38)=10),OctSun1+38, "")</f>
        <v/>
      </c>
      <c r="E39" s="12" t="str">
        <f>IF(AND(YEAR(OctSun1+39)=Year,MONTH(OctSun1+39)=10),OctSun1+39, "")</f>
        <v/>
      </c>
      <c r="F39" s="12" t="str">
        <f>IF(AND(YEAR(OctSun1+40)=Year,MONTH(OctSun1+40)=10),OctSun1+40, "")</f>
        <v/>
      </c>
      <c r="G39" s="12" t="str">
        <f>IF(AND(YEAR(OctSun1+41)=Year,MONTH(OctSun1+41)=10),OctSun1+41, "")</f>
        <v/>
      </c>
      <c r="H39" s="13"/>
      <c r="I39" s="12" t="str">
        <f>IF(AND(YEAR(NovSun1+35)=Year,MONTH(NovSun1+35)=11),NovSun1+35, "")</f>
        <v/>
      </c>
      <c r="J39" s="12" t="str">
        <f>IF(AND(YEAR(NovSun1+36)=Year,MONTH(NovSun1+36)=11),NovSun1+36, "")</f>
        <v/>
      </c>
      <c r="K39" s="12" t="str">
        <f>IF(AND(YEAR(NovSun1+37)=Year,MONTH(NovSun1+37)=11),NovSun1+37, "")</f>
        <v/>
      </c>
      <c r="L39" s="12" t="str">
        <f>IF(AND(YEAR(NovSun1+38)=Year,MONTH(NovSun1+38)=11),NovSun1+38, "")</f>
        <v/>
      </c>
      <c r="M39" s="12" t="str">
        <f>IF(AND(YEAR(NovSun1+39)=Year,MONTH(NovSun1+39)=11),NovSun1+39, "")</f>
        <v/>
      </c>
      <c r="N39" s="12" t="str">
        <f>IF(AND(YEAR(NovSun1+40)=Year,MONTH(NovSun1+40)=11),NovSun1+40, "")</f>
        <v/>
      </c>
      <c r="O39" s="12" t="str">
        <f>IF(AND(YEAR(NovSun1+41)=Year,MONTH(NovSun1+41)=11),NovSun1+41, "")</f>
        <v/>
      </c>
      <c r="P39" s="13"/>
      <c r="Q39" s="12" t="str">
        <f>IF(AND(YEAR(DecSun1+35)=Year,MONTH(DecSun1+35)=12),DecSun1+35, "")</f>
        <v/>
      </c>
      <c r="R39" s="12" t="str">
        <f>IF(AND(YEAR(DecSun1+36)=Year,MONTH(DecSun1+36)=12),DecSun1+36, "")</f>
        <v/>
      </c>
      <c r="S39" s="12" t="str">
        <f>IF(AND(YEAR(DecSun1+37)=Year,MONTH(DecSun1+37)=12),DecSun1+37, "")</f>
        <v/>
      </c>
      <c r="T39" s="12" t="str">
        <f>IF(AND(YEAR(DecSun1+38)=Year,MONTH(DecSun1+38)=12),DecSun1+38, "")</f>
        <v/>
      </c>
      <c r="U39" s="12" t="str">
        <f>IF(AND(YEAR(DecSun1+39)=Year,MONTH(DecSun1+39)=12),DecSun1+39, "")</f>
        <v/>
      </c>
      <c r="V39" s="12" t="str">
        <f>IF(AND(YEAR(DecSun1+40)=Year,MONTH(DecSun1+40)=12),DecSun1+40, "")</f>
        <v/>
      </c>
      <c r="W39" s="12" t="str">
        <f>IF(AND(YEAR(DecSun1+41)=Year,MONTH(DecSun1+41)=12),DecSun1+41, "")</f>
        <v/>
      </c>
    </row>
  </sheetData>
  <dataConsolidate/>
  <mergeCells count="13">
    <mergeCell ref="A23:G23"/>
    <mergeCell ref="I23:O23"/>
    <mergeCell ref="Q23:W23"/>
    <mergeCell ref="A32:G32"/>
    <mergeCell ref="I32:O32"/>
    <mergeCell ref="Q32:W32"/>
    <mergeCell ref="H1:I1"/>
    <mergeCell ref="A5:G5"/>
    <mergeCell ref="I5:O5"/>
    <mergeCell ref="Q5:W5"/>
    <mergeCell ref="A14:G14"/>
    <mergeCell ref="I14:O14"/>
    <mergeCell ref="Q14:W14"/>
  </mergeCells>
  <phoneticPr fontId="1" type="noConversion"/>
  <dataValidations count="26">
    <dataValidation allowBlank="1" showInputMessage="1" showErrorMessage="1" prompt="Calendar Month is in this cell. Calendar for this month is automatically updated in cells B3 through H9" sqref="A5:G5" xr:uid="{00000000-0002-0000-0000-000000000000}"/>
    <dataValidation allowBlank="1" showInputMessage="1" showErrorMessage="1" prompt="Calendar Month is in this cell. Calendar for this month is automatically updated in cells J3 through P9" sqref="A14:G14" xr:uid="{00000000-0002-0000-0000-000001000000}"/>
    <dataValidation allowBlank="1" showInputMessage="1" showErrorMessage="1" prompt="Calendar Month is in this cell. Calendar for this month is automatically updated in cells R3 through X9" sqref="A23:G23" xr:uid="{00000000-0002-0000-0000-000002000000}"/>
    <dataValidation allowBlank="1" showInputMessage="1" showErrorMessage="1" prompt="Calendar Month is in this cell. Calendar for this month is automatically updated in cells Z3 through AF9" sqref="A32:G32" xr:uid="{00000000-0002-0000-0000-000003000000}"/>
    <dataValidation allowBlank="1" showInputMessage="1" showErrorMessage="1" prompt="Calendar Month is in this cell. Calendar for this month is automatically updated in cells B12 through H18" sqref="I5:O5" xr:uid="{00000000-0002-0000-0000-000004000000}"/>
    <dataValidation allowBlank="1" showInputMessage="1" showErrorMessage="1" prompt="Calendar Month is in this cell. Calendar for this month is automatically updated in cells B21 through H27" sqref="Q5:W5" xr:uid="{00000000-0002-0000-0000-000005000000}"/>
    <dataValidation allowBlank="1" showInputMessage="1" showErrorMessage="1" prompt="Calendar Month is in this cell. Calendar for this month is automatically updated in cells J12 through P18" sqref="I14:O14" xr:uid="{00000000-0002-0000-0000-000006000000}"/>
    <dataValidation allowBlank="1" showInputMessage="1" showErrorMessage="1" prompt="Calendar Month is in this cell. Calendar for this month is automatically updated in cells R12 through X18" sqref="I23:O23" xr:uid="{00000000-0002-0000-0000-000007000000}"/>
    <dataValidation allowBlank="1" showInputMessage="1" showErrorMessage="1" prompt="Calendar Month is in this cell. Calendar for this month is automatically updated in cells Z12 through AF18" sqref="I32:O32" xr:uid="{00000000-0002-0000-0000-000008000000}"/>
    <dataValidation allowBlank="1" showInputMessage="1" showErrorMessage="1" prompt="Calendar Month is in this cell. Calendar for this month is automatically updated in cells J21 through P27" sqref="Q14:W14" xr:uid="{00000000-0002-0000-0000-000009000000}"/>
    <dataValidation allowBlank="1" showInputMessage="1" showErrorMessage="1" prompt="Calendar Month is in this cell. Calendar for this month is automatically updated in cells R21 through X27" sqref="Q23:W23" xr:uid="{00000000-0002-0000-0000-00000A000000}"/>
    <dataValidation allowBlank="1" showInputMessage="1" showErrorMessage="1" prompt="Calendar Month is in this cell. Calendar for this month is automatically updated in cells Z21 through AF27" sqref="Q32:W32" xr:uid="{00000000-0002-0000-0000-00000B000000}"/>
    <dataValidation allowBlank="1" showInputMessage="1" showErrorMessage="1" prompt="Weekdays for the month in cell above are in cells B3 through H3" sqref="A6 I6 Q6 I15 Q15 A24 I24 Q24 A33 I33 Q33 A15" xr:uid="{00000000-0002-0000-0000-00000C000000}"/>
    <dataValidation allowBlank="1" showInputMessage="1" showErrorMessage="1" prompt="Calendar days for this month are automatically updated in cells B4 through H9" sqref="A7" xr:uid="{00000000-0002-0000-0000-00000D000000}"/>
    <dataValidation allowBlank="1" showInputMessage="1" showErrorMessage="1" prompt="Calendar days for this month are automatically updated in cells J4 through P9" sqref="A16" xr:uid="{00000000-0002-0000-0000-00000E000000}"/>
    <dataValidation allowBlank="1" showInputMessage="1" showErrorMessage="1" prompt="Calendar days for this month are automatically updated in cells R4 through X9" sqref="A25" xr:uid="{00000000-0002-0000-0000-00000F000000}"/>
    <dataValidation allowBlank="1" showInputMessage="1" showErrorMessage="1" prompt="Calendar days for this month are automatically updated in cells Z4 through AF9" sqref="A34" xr:uid="{00000000-0002-0000-0000-000010000000}"/>
    <dataValidation allowBlank="1" showInputMessage="1" showErrorMessage="1" prompt="Calendar days for this month are automatically updated in cells B13 through H18" sqref="I7" xr:uid="{00000000-0002-0000-0000-000011000000}"/>
    <dataValidation allowBlank="1" showInputMessage="1" showErrorMessage="1" prompt="Calendar days for this month are automatically updated in cells J13 through P18" sqref="I16" xr:uid="{00000000-0002-0000-0000-000012000000}"/>
    <dataValidation allowBlank="1" showInputMessage="1" showErrorMessage="1" prompt="Calendar days for this month are automatically updated in cells R13 through X18" sqref="I25" xr:uid="{00000000-0002-0000-0000-000013000000}"/>
    <dataValidation allowBlank="1" showInputMessage="1" showErrorMessage="1" prompt="Calendar days for this month are automatically updated in cells Z13 through AF18" sqref="I34" xr:uid="{00000000-0002-0000-0000-000014000000}"/>
    <dataValidation allowBlank="1" showInputMessage="1" showErrorMessage="1" prompt="Calendar days for this month are automatically updated in cells B22 through H27" sqref="Q7" xr:uid="{00000000-0002-0000-0000-000015000000}"/>
    <dataValidation allowBlank="1" showInputMessage="1" showErrorMessage="1" prompt="Calendar days for this month are automatically updated in cells J22 through P27" sqref="Q16" xr:uid="{00000000-0002-0000-0000-000016000000}"/>
    <dataValidation allowBlank="1" showInputMessage="1" showErrorMessage="1" prompt="Calendar days for this month are automatically updated in cells R22 through X27" sqref="Q25" xr:uid="{00000000-0002-0000-0000-000017000000}"/>
    <dataValidation allowBlank="1" showInputMessage="1" showErrorMessage="1" prompt="Calendar days for this month are automatically updated in cells Z22 through AF27" sqref="Q34" xr:uid="{00000000-0002-0000-0000-000018000000}"/>
    <dataValidation allowBlank="1" showInputMessage="1" showErrorMessage="1" prompt="Enter Year in this cell to automatically update calendar for each month in cells B2 through AF27" sqref="H1:J2 H4:J4 H3:I3 L3" xr:uid="{00000000-0002-0000-0000-000019000000}"/>
  </dataValidations>
  <printOptions horizontalCentered="1" verticalCentered="1"/>
  <pageMargins left="0.5" right="0.5" top="0.5" bottom="0.5" header="0.5" footer="0.5"/>
  <pageSetup scale="56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2F23D4B53E934981969394268D4354" ma:contentTypeVersion="13" ma:contentTypeDescription="Create a new document." ma:contentTypeScope="" ma:versionID="c4e9ab1cf22d463cf8f0d77ccfd7d80a">
  <xsd:schema xmlns:xsd="http://www.w3.org/2001/XMLSchema" xmlns:xs="http://www.w3.org/2001/XMLSchema" xmlns:p="http://schemas.microsoft.com/office/2006/metadata/properties" xmlns:ns2="d87ac6a7-5d5b-4c7c-8863-92722ec60908" xmlns:ns3="350e812b-fa68-4f05-9a68-6f5c47da810f" targetNamespace="http://schemas.microsoft.com/office/2006/metadata/properties" ma:root="true" ma:fieldsID="9b05d8cfe6d16360713275678c7c8cf0" ns2:_="" ns3:_="">
    <xsd:import namespace="d87ac6a7-5d5b-4c7c-8863-92722ec60908"/>
    <xsd:import namespace="350e812b-fa68-4f05-9a68-6f5c47da81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ac6a7-5d5b-4c7c-8863-92722ec60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0e812b-fa68-4f05-9a68-6f5c47da81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7E2824-CAA2-450A-8A91-698DA6AA2D85}"/>
</file>

<file path=customXml/itemProps2.xml><?xml version="1.0" encoding="utf-8"?>
<ds:datastoreItem xmlns:ds="http://schemas.openxmlformats.org/officeDocument/2006/customXml" ds:itemID="{8146D778-7791-446D-B8F3-30C23199C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4209FD-C955-47F3-AAC4-B69A06DA788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Fadul Joel</dc:creator>
  <cp:lastModifiedBy>Corsilles Michaela</cp:lastModifiedBy>
  <cp:lastPrinted>2018-11-15T21:52:34Z</cp:lastPrinted>
  <dcterms:created xsi:type="dcterms:W3CDTF">2017-08-12T10:05:54Z</dcterms:created>
  <dcterms:modified xsi:type="dcterms:W3CDTF">2021-09-24T00:15:33Z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0x010100B72F23D4B53E934981969394268D4354</vt:lpwstr>
  </property>
  <property fmtid="{D5CDD505-2E9C-101B-9397-08002B2CF9AE}" pid="3" name="Order">
    <vt:r8>574800</vt:r8>
  </property>
</Properties>
</file>