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0125" windowHeight="3270" tabRatio="601" activeTab="0"/>
  </bookViews>
  <sheets>
    <sheet name="Replacement Budget" sheetId="1" r:id="rId1"/>
    <sheet name="Reserve Graph" sheetId="2" r:id="rId2"/>
  </sheets>
  <definedNames>
    <definedName name="PP">#REF!</definedName>
    <definedName name="RELOC">#REF!</definedName>
    <definedName name="TDC">#REF!</definedName>
  </definedNames>
  <calcPr fullCalcOnLoad="1"/>
</workbook>
</file>

<file path=xl/sharedStrings.xml><?xml version="1.0" encoding="utf-8"?>
<sst xmlns="http://schemas.openxmlformats.org/spreadsheetml/2006/main" count="138" uniqueCount="96">
  <si>
    <t>Unit</t>
  </si>
  <si>
    <t>Replacement Item</t>
  </si>
  <si>
    <t>Reserve Balance</t>
  </si>
  <si>
    <t>Carry Over Balance</t>
  </si>
  <si>
    <t>Typical Useful Life</t>
  </si>
  <si>
    <t>Useful Life Remaining</t>
  </si>
  <si>
    <t>Date Inspected</t>
  </si>
  <si>
    <t>Exterior</t>
  </si>
  <si>
    <t>Qty</t>
  </si>
  <si>
    <t>Unit Cost</t>
  </si>
  <si>
    <t>EA</t>
  </si>
  <si>
    <t>SF</t>
  </si>
  <si>
    <t>Starting Balance</t>
  </si>
  <si>
    <t>This Year's Expenditures</t>
  </si>
  <si>
    <t>Building Interior</t>
  </si>
  <si>
    <t>Assumed Annual Cost Inflation Rate</t>
  </si>
  <si>
    <t>TOTAL EXPENDITURES:</t>
  </si>
  <si>
    <t>Interest earned on carry over balance</t>
  </si>
  <si>
    <t>Assumed Annual Yearly Addition Inflation Rate</t>
  </si>
  <si>
    <t>Annual Addition</t>
  </si>
  <si>
    <t>Starting Annual Addition</t>
  </si>
  <si>
    <t>Brick-Grout East Side</t>
  </si>
  <si>
    <t>East Side - Paint Wall</t>
  </si>
  <si>
    <t>Roof-upper</t>
  </si>
  <si>
    <t>Roof-lower</t>
  </si>
  <si>
    <t>Roof-Silver coat</t>
  </si>
  <si>
    <t>re-coat every 3 years</t>
  </si>
  <si>
    <t>Equipment</t>
  </si>
  <si>
    <t>Steamer</t>
  </si>
  <si>
    <t>Stoves</t>
  </si>
  <si>
    <t>Convection oven</t>
  </si>
  <si>
    <t>Walk In Cooler/Freezer</t>
  </si>
  <si>
    <t>Replace compressor every 10 years</t>
  </si>
  <si>
    <t>Double Wide Fridges</t>
  </si>
  <si>
    <t>Deep Fat Fryer</t>
  </si>
  <si>
    <t>Compactor</t>
  </si>
  <si>
    <t>Major systems</t>
  </si>
  <si>
    <t>Fire Alarm System</t>
  </si>
  <si>
    <t>Re-grout every 15 years</t>
  </si>
  <si>
    <t>Leave as is</t>
  </si>
  <si>
    <t>Electrical</t>
  </si>
  <si>
    <t>Elevator</t>
  </si>
  <si>
    <t>Yearly repair</t>
  </si>
  <si>
    <t>Mechanical System</t>
  </si>
  <si>
    <t>Assumed interest on account</t>
  </si>
  <si>
    <t>Repair covered in maint. Agreement</t>
  </si>
  <si>
    <t>First Cycle Scheduled for Replacement</t>
  </si>
  <si>
    <t>Second Cycle Scheduled for Replacement</t>
  </si>
  <si>
    <t>Third Cycle Scheduled for Replacement</t>
  </si>
  <si>
    <t>(Balance in reserves for repairs)</t>
  </si>
  <si>
    <t>(Amount set aside yearly to add to reserves)</t>
  </si>
  <si>
    <t>(PRF savings account interest)</t>
  </si>
  <si>
    <t>This cycle is based on the typical useful life</t>
  </si>
  <si>
    <t>(Yearly increase in annual addition budget for reserves)</t>
  </si>
  <si>
    <t xml:space="preserve">Ave Current Age </t>
  </si>
  <si>
    <t>Always check the spread sheet calculations.</t>
  </si>
  <si>
    <t xml:space="preserve">Note amount in reserves at end of twenty years.  </t>
  </si>
  <si>
    <t>(Assume a cost of inflation at present time but track this as it will change yearly)</t>
  </si>
  <si>
    <t>Parish Name (date)</t>
  </si>
  <si>
    <t>Painting</t>
  </si>
  <si>
    <t>Carpet Replacement</t>
  </si>
  <si>
    <t>Every 10 years</t>
  </si>
  <si>
    <t>VCT Replacement</t>
  </si>
  <si>
    <t>Every 20 years</t>
  </si>
  <si>
    <t>Physical Description or Replacement Interval</t>
  </si>
  <si>
    <t>Breakers not available</t>
  </si>
  <si>
    <t>Fire Protection</t>
  </si>
  <si>
    <t>Assume 20 year life for replacement</t>
  </si>
  <si>
    <t>Only soffits/eaves/window frames require paint</t>
  </si>
  <si>
    <t>Parking lot seal coat</t>
  </si>
  <si>
    <t>Parking lot stripping</t>
  </si>
  <si>
    <t>Re-coat every 4 years</t>
  </si>
  <si>
    <t>Re-stripe with seal coating</t>
  </si>
  <si>
    <t>2 Stoves</t>
  </si>
  <si>
    <t>Mixer</t>
  </si>
  <si>
    <t>Electric Unit</t>
  </si>
  <si>
    <t>JOB</t>
  </si>
  <si>
    <t>Plumbing - Drains</t>
  </si>
  <si>
    <t>Plumbing - Supply</t>
  </si>
  <si>
    <t>Plumbing - Service</t>
  </si>
  <si>
    <t>Service to building</t>
  </si>
  <si>
    <t>Drains</t>
  </si>
  <si>
    <t>Plumbing-Recirculation</t>
  </si>
  <si>
    <t>Recirculating Pumps</t>
  </si>
  <si>
    <t>Replace heads</t>
  </si>
  <si>
    <t>Hot and Cold piping-copper</t>
  </si>
  <si>
    <t>List all buildings separately and if needed by building floor level.  Below information is for example only.</t>
  </si>
  <si>
    <t>Provide as much detail as possible, if needed add attachments with supporting information.</t>
  </si>
  <si>
    <t>After the first cycle is complete this is the second cycle</t>
  </si>
  <si>
    <t>After the second cycle is complete this is the second cycle</t>
  </si>
  <si>
    <t>Brick-Tuck-point West Side</t>
  </si>
  <si>
    <t>spot tuck-point every 5 years-now</t>
  </si>
  <si>
    <t>Add rows as necessary</t>
  </si>
  <si>
    <t>Re-paint every 7 years</t>
  </si>
  <si>
    <r>
      <t xml:space="preserve">Catholic Archdiocese of Seattle-Life Cycle Analysis  </t>
    </r>
    <r>
      <rPr>
        <b/>
        <sz val="10"/>
        <color indexed="10"/>
        <rFont val="Arial"/>
        <family val="2"/>
      </rPr>
      <t>Comments are in Red to assist in filling in the information.</t>
    </r>
  </si>
  <si>
    <t>Estimated Replacement Cost in 2015 $'s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</si>
</sst>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#,##0.0%"/>
    <numFmt numFmtId="167" formatCode="#,##0.00%"/>
    <numFmt numFmtId="168" formatCode="&quot;$&quot;#,##0.0_);[Red]\(&quot;$&quot;#,##0.0\)"/>
    <numFmt numFmtId="169" formatCode="&quot;$&quot;#,##0"/>
    <numFmt numFmtId="170" formatCode="&quot;$&quot;#,##0.00"/>
    <numFmt numFmtId="171" formatCode="mm/dd/yy"/>
    <numFmt numFmtId="172" formatCode="0;\-0;;@"/>
    <numFmt numFmtId="173" formatCode="0.0"/>
    <numFmt numFmtId="174" formatCode="0.00;[Red]0.00"/>
    <numFmt numFmtId="175" formatCode="mmm\-yyyy"/>
    <numFmt numFmtId="176" formatCode="&quot;$&quot;#,##0.00;[Red]&quot;$&quot;#,##0.00"/>
    <numFmt numFmtId="177" formatCode="&quot;$&quot;#,##0.0"/>
    <numFmt numFmtId="178" formatCode="\$#,##0_);\(\$#,##0\)"/>
    <numFmt numFmtId="179" formatCode="&quot;$&quot;#,##0;[Red]&quot;$&quot;#,##0"/>
  </numFmts>
  <fonts count="50">
    <font>
      <b/>
      <i/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 inden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5" fillId="0" borderId="0" xfId="0" applyNumberFormat="1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left" wrapText="1"/>
    </xf>
    <xf numFmtId="37" fontId="1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1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70" fontId="7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 horizontal="left" indent="1"/>
    </xf>
    <xf numFmtId="0" fontId="5" fillId="33" borderId="11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70" fontId="5" fillId="33" borderId="12" xfId="0" applyNumberFormat="1" applyFont="1" applyFill="1" applyBorder="1" applyAlignment="1">
      <alignment horizontal="right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top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Replacement Reserve Balance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"/>
          <c:w val="0.9512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'Replacement Budget'!$P$54:$R$54</c:f>
              <c:strCache>
                <c:ptCount val="1"/>
                <c:pt idx="0">
                  <c:v>Reserve Balance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'Replacement Budget'!$S$4:$AL$4</c:f>
              <c:numCach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'Replacement Budget'!$S$54:$AL$54</c:f>
              <c:numCache>
                <c:ptCount val="20"/>
                <c:pt idx="0">
                  <c:v>75498.59745685004</c:v>
                </c:pt>
                <c:pt idx="1">
                  <c:v>85676.53038055554</c:v>
                </c:pt>
                <c:pt idx="2">
                  <c:v>84317.19054197222</c:v>
                </c:pt>
                <c:pt idx="3">
                  <c:v>86628.30563128246</c:v>
                </c:pt>
                <c:pt idx="4">
                  <c:v>95518.87623304594</c:v>
                </c:pt>
                <c:pt idx="5">
                  <c:v>102490.56559584707</c:v>
                </c:pt>
                <c:pt idx="6">
                  <c:v>110316.34026605864</c:v>
                </c:pt>
                <c:pt idx="7">
                  <c:v>123074.33644516695</c:v>
                </c:pt>
                <c:pt idx="8">
                  <c:v>19098.22795685708</c:v>
                </c:pt>
                <c:pt idx="9">
                  <c:v>11118.757618217256</c:v>
                </c:pt>
                <c:pt idx="10">
                  <c:v>16530.989680213024</c:v>
                </c:pt>
                <c:pt idx="11">
                  <c:v>27665.44878407214</c:v>
                </c:pt>
                <c:pt idx="12">
                  <c:v>34199.02342843555</c:v>
                </c:pt>
                <c:pt idx="13">
                  <c:v>44671.40998602061</c:v>
                </c:pt>
                <c:pt idx="14">
                  <c:v>54831.560615975184</c:v>
                </c:pt>
                <c:pt idx="15">
                  <c:v>37685.8252293732</c:v>
                </c:pt>
                <c:pt idx="16">
                  <c:v>35709.37132394813</c:v>
                </c:pt>
                <c:pt idx="17">
                  <c:v>49483.61294149111</c:v>
                </c:pt>
                <c:pt idx="18">
                  <c:v>-80853.39483415424</c:v>
                </c:pt>
                <c:pt idx="19">
                  <c:v>-71416.82406323017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Reserve Balance in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62625"/>
    <xdr:graphicFrame>
      <xdr:nvGraphicFramePr>
        <xdr:cNvPr id="1" name="Chart 1"/>
        <xdr:cNvGraphicFramePr/>
      </xdr:nvGraphicFramePr>
      <xdr:xfrm>
        <a:off x="0" y="0"/>
        <a:ext cx="86772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3" sqref="S53"/>
    </sheetView>
  </sheetViews>
  <sheetFormatPr defaultColWidth="9.140625" defaultRowHeight="12.75"/>
  <cols>
    <col min="1" max="1" width="27.7109375" style="3" customWidth="1"/>
    <col min="2" max="2" width="30.28125" style="59" customWidth="1"/>
    <col min="3" max="3" width="8.421875" style="50" customWidth="1"/>
    <col min="4" max="4" width="8.28125" style="22" customWidth="1"/>
    <col min="5" max="5" width="10.8515625" style="11" customWidth="1"/>
    <col min="6" max="6" width="11.140625" style="50" customWidth="1"/>
    <col min="7" max="7" width="12.00390625" style="50" customWidth="1"/>
    <col min="8" max="8" width="11.7109375" style="50" customWidth="1"/>
    <col min="9" max="9" width="10.7109375" style="51" customWidth="1"/>
    <col min="10" max="10" width="7.57421875" style="13" customWidth="1"/>
    <col min="11" max="11" width="7.57421875" style="52" customWidth="1"/>
    <col min="12" max="12" width="8.7109375" style="64" bestFit="1" customWidth="1"/>
    <col min="13" max="13" width="11.421875" style="68" customWidth="1"/>
    <col min="14" max="14" width="3.00390625" style="4" customWidth="1"/>
    <col min="15" max="15" width="22.140625" style="3" customWidth="1"/>
    <col min="16" max="16" width="7.421875" style="5" customWidth="1"/>
    <col min="17" max="17" width="10.00390625" style="5" customWidth="1"/>
    <col min="18" max="18" width="11.421875" style="35" customWidth="1"/>
    <col min="19" max="38" width="8.28125" style="45" customWidth="1"/>
    <col min="39" max="39" width="12.00390625" style="1" customWidth="1"/>
    <col min="40" max="48" width="9.7109375" style="1" customWidth="1"/>
    <col min="49" max="69" width="9.140625" style="1" customWidth="1"/>
    <col min="70" max="16384" width="9.140625" style="3" customWidth="1"/>
  </cols>
  <sheetData>
    <row r="1" ht="21" customHeight="1">
      <c r="A1" s="17" t="s">
        <v>58</v>
      </c>
    </row>
    <row r="2" ht="20.25" customHeight="1">
      <c r="A2" s="17" t="s">
        <v>94</v>
      </c>
    </row>
    <row r="3" spans="1:38" ht="12.75">
      <c r="A3" s="75" t="s">
        <v>1</v>
      </c>
      <c r="B3" s="75" t="s">
        <v>64</v>
      </c>
      <c r="C3" s="75" t="s">
        <v>54</v>
      </c>
      <c r="D3" s="75" t="s">
        <v>4</v>
      </c>
      <c r="E3" s="79" t="s">
        <v>5</v>
      </c>
      <c r="F3" s="75" t="s">
        <v>46</v>
      </c>
      <c r="G3" s="75" t="s">
        <v>47</v>
      </c>
      <c r="H3" s="75" t="s">
        <v>48</v>
      </c>
      <c r="I3" s="80" t="s">
        <v>6</v>
      </c>
      <c r="J3" s="79" t="s">
        <v>8</v>
      </c>
      <c r="K3" s="82" t="s">
        <v>0</v>
      </c>
      <c r="L3" s="81" t="s">
        <v>9</v>
      </c>
      <c r="M3" s="78" t="s">
        <v>95</v>
      </c>
      <c r="N3" s="6"/>
      <c r="O3" s="75" t="s">
        <v>1</v>
      </c>
      <c r="P3" s="75" t="s">
        <v>4</v>
      </c>
      <c r="Q3" s="75" t="s">
        <v>5</v>
      </c>
      <c r="R3" s="84" t="s">
        <v>95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69" s="17" customFormat="1" ht="39" customHeight="1">
      <c r="A4" s="75"/>
      <c r="B4" s="75"/>
      <c r="C4" s="75"/>
      <c r="D4" s="75"/>
      <c r="E4" s="79"/>
      <c r="F4" s="75"/>
      <c r="G4" s="75"/>
      <c r="H4" s="75"/>
      <c r="I4" s="80"/>
      <c r="J4" s="79"/>
      <c r="K4" s="82"/>
      <c r="L4" s="81"/>
      <c r="M4" s="78"/>
      <c r="N4" s="6"/>
      <c r="O4" s="75"/>
      <c r="P4" s="75"/>
      <c r="Q4" s="75"/>
      <c r="R4" s="84"/>
      <c r="S4" s="74">
        <v>2015</v>
      </c>
      <c r="T4" s="74">
        <f>S4+1</f>
        <v>2016</v>
      </c>
      <c r="U4" s="74">
        <f aca="true" t="shared" si="0" ref="U4:AL4">T4+1</f>
        <v>2017</v>
      </c>
      <c r="V4" s="74">
        <f t="shared" si="0"/>
        <v>2018</v>
      </c>
      <c r="W4" s="74">
        <f t="shared" si="0"/>
        <v>2019</v>
      </c>
      <c r="X4" s="74">
        <f t="shared" si="0"/>
        <v>2020</v>
      </c>
      <c r="Y4" s="74">
        <f t="shared" si="0"/>
        <v>2021</v>
      </c>
      <c r="Z4" s="74">
        <f t="shared" si="0"/>
        <v>2022</v>
      </c>
      <c r="AA4" s="74">
        <f t="shared" si="0"/>
        <v>2023</v>
      </c>
      <c r="AB4" s="74">
        <f t="shared" si="0"/>
        <v>2024</v>
      </c>
      <c r="AC4" s="74">
        <f t="shared" si="0"/>
        <v>2025</v>
      </c>
      <c r="AD4" s="74">
        <f t="shared" si="0"/>
        <v>2026</v>
      </c>
      <c r="AE4" s="74">
        <f t="shared" si="0"/>
        <v>2027</v>
      </c>
      <c r="AF4" s="74">
        <f t="shared" si="0"/>
        <v>2028</v>
      </c>
      <c r="AG4" s="74">
        <f t="shared" si="0"/>
        <v>2029</v>
      </c>
      <c r="AH4" s="74">
        <f t="shared" si="0"/>
        <v>2030</v>
      </c>
      <c r="AI4" s="74">
        <f t="shared" si="0"/>
        <v>2031</v>
      </c>
      <c r="AJ4" s="74">
        <f t="shared" si="0"/>
        <v>2032</v>
      </c>
      <c r="AK4" s="74">
        <f t="shared" si="0"/>
        <v>2033</v>
      </c>
      <c r="AL4" s="74">
        <f t="shared" si="0"/>
        <v>2034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s="17" customFormat="1" ht="53.25" customHeight="1">
      <c r="A5" s="36" t="s">
        <v>86</v>
      </c>
      <c r="B5" s="36" t="s">
        <v>87</v>
      </c>
      <c r="C5" s="6"/>
      <c r="D5" s="6"/>
      <c r="E5" s="44"/>
      <c r="F5" s="19"/>
      <c r="G5" s="6"/>
      <c r="H5" s="6"/>
      <c r="I5" s="9"/>
      <c r="J5" s="53"/>
      <c r="K5" s="54"/>
      <c r="L5" s="65"/>
      <c r="M5" s="69"/>
      <c r="N5" s="6"/>
      <c r="O5" s="6"/>
      <c r="P5" s="6"/>
      <c r="Q5" s="6"/>
      <c r="R5" s="30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20" customFormat="1" ht="68.25" customHeight="1">
      <c r="A6" s="18" t="s">
        <v>7</v>
      </c>
      <c r="B6" s="60"/>
      <c r="C6" s="28"/>
      <c r="D6" s="28"/>
      <c r="E6" s="12"/>
      <c r="F6" s="37" t="s">
        <v>52</v>
      </c>
      <c r="G6" s="38" t="s">
        <v>88</v>
      </c>
      <c r="H6" s="38" t="s">
        <v>89</v>
      </c>
      <c r="I6" s="10"/>
      <c r="J6" s="12"/>
      <c r="K6" s="43"/>
      <c r="L6" s="66"/>
      <c r="M6" s="70"/>
      <c r="N6" s="2"/>
      <c r="O6" s="18" t="s">
        <v>7</v>
      </c>
      <c r="P6" s="7">
        <f>D6</f>
        <v>0</v>
      </c>
      <c r="Q6" s="7">
        <f>E6</f>
        <v>0</v>
      </c>
      <c r="R6" s="31"/>
      <c r="S6" s="48"/>
      <c r="T6" s="31">
        <f>M6*1.04^2</f>
        <v>0</v>
      </c>
      <c r="U6" s="31">
        <f>M6*1.04^3</f>
        <v>0</v>
      </c>
      <c r="V6" s="31">
        <f>M6*1.04^4</f>
        <v>0</v>
      </c>
      <c r="W6" s="31">
        <f>M6*1.04^5</f>
        <v>0</v>
      </c>
      <c r="X6" s="31">
        <f>M6*1.04^6</f>
        <v>0</v>
      </c>
      <c r="Y6" s="31">
        <f>M6*1.04^7</f>
        <v>0</v>
      </c>
      <c r="Z6" s="32">
        <f>M6*1.04^8</f>
        <v>0</v>
      </c>
      <c r="AA6" s="32">
        <f>M6*1.04^9</f>
        <v>0</v>
      </c>
      <c r="AB6" s="32">
        <f>M6*1.04^10</f>
        <v>0</v>
      </c>
      <c r="AC6" s="32">
        <f>M6*1.04^11</f>
        <v>0</v>
      </c>
      <c r="AD6" s="32">
        <f>M6*1.04^12</f>
        <v>0</v>
      </c>
      <c r="AE6" s="32">
        <f>M6*1.04^13</f>
        <v>0</v>
      </c>
      <c r="AF6" s="32">
        <f>M6*1.04^14</f>
        <v>0</v>
      </c>
      <c r="AG6" s="32">
        <f>M6*1.04^15</f>
        <v>0</v>
      </c>
      <c r="AH6" s="32">
        <f>M6*1.04^16</f>
        <v>0</v>
      </c>
      <c r="AI6" s="32">
        <f>M6*1.04^17</f>
        <v>0</v>
      </c>
      <c r="AJ6" s="32">
        <f>M6*1.04^18</f>
        <v>0</v>
      </c>
      <c r="AK6" s="32">
        <f>M6*1.04^19</f>
        <v>0</v>
      </c>
      <c r="AL6" s="32">
        <f>M6*1.04^20</f>
        <v>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s="20" customFormat="1" ht="12.75">
      <c r="A7" s="8" t="s">
        <v>90</v>
      </c>
      <c r="B7" s="60" t="s">
        <v>91</v>
      </c>
      <c r="C7" s="28">
        <v>5</v>
      </c>
      <c r="D7" s="28">
        <v>5</v>
      </c>
      <c r="E7" s="12">
        <f>D7-C7</f>
        <v>0</v>
      </c>
      <c r="F7" s="7">
        <f>2015+E7</f>
        <v>2015</v>
      </c>
      <c r="G7" s="7">
        <f>F7+D7</f>
        <v>2020</v>
      </c>
      <c r="H7" s="7">
        <f>G7+D7</f>
        <v>2025</v>
      </c>
      <c r="I7" s="10">
        <v>42005</v>
      </c>
      <c r="J7" s="42">
        <v>1</v>
      </c>
      <c r="K7" s="43" t="s">
        <v>76</v>
      </c>
      <c r="L7" s="66">
        <v>3000</v>
      </c>
      <c r="M7" s="71">
        <f>J7*L7</f>
        <v>3000</v>
      </c>
      <c r="N7" s="2"/>
      <c r="O7" s="8" t="str">
        <f>A7</f>
        <v>Brick-Tuck-point West Side</v>
      </c>
      <c r="P7" s="16">
        <f>D7</f>
        <v>5</v>
      </c>
      <c r="Q7" s="16">
        <f>E7</f>
        <v>0</v>
      </c>
      <c r="R7" s="32">
        <f aca="true" t="shared" si="1" ref="R7:R12">M7</f>
        <v>3000</v>
      </c>
      <c r="S7" s="32">
        <f aca="true" t="shared" si="2" ref="S7:AG11">IF((S$4=$F7),($R7*(1+((S$4-2000)*$D$48))),IF((S$4=$G7),($R7*(1+((S$4-2000)*$D$48))),IF((S$4=$H7),($R7*(1+((S$4-2000)*$D$48))),0)))</f>
        <v>4350</v>
      </c>
      <c r="T7" s="32">
        <f t="shared" si="2"/>
        <v>0</v>
      </c>
      <c r="U7" s="32">
        <f t="shared" si="2"/>
        <v>0</v>
      </c>
      <c r="V7" s="32">
        <f t="shared" si="2"/>
        <v>0</v>
      </c>
      <c r="W7" s="32">
        <f t="shared" si="2"/>
        <v>0</v>
      </c>
      <c r="X7" s="32">
        <f t="shared" si="2"/>
        <v>4800</v>
      </c>
      <c r="Y7" s="32">
        <f t="shared" si="2"/>
        <v>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2">
        <f t="shared" si="2"/>
        <v>5250</v>
      </c>
      <c r="AD7" s="32">
        <f t="shared" si="2"/>
        <v>0</v>
      </c>
      <c r="AE7" s="32">
        <f t="shared" si="2"/>
        <v>0</v>
      </c>
      <c r="AF7" s="32">
        <f t="shared" si="2"/>
        <v>0</v>
      </c>
      <c r="AG7" s="32">
        <f t="shared" si="2"/>
        <v>0</v>
      </c>
      <c r="AH7" s="32">
        <f>AC7*(1+($D$48)*5)</f>
        <v>6037.499999999999</v>
      </c>
      <c r="AI7" s="32">
        <f aca="true" t="shared" si="3" ref="AI7:AL11">IF((AI$4=$F7),($R7*(1+((AI$4-2000)*$D$48))),IF((AI$4=$G7),($R7*(1+((AI$4-2000)*$D$48))),IF((AI$4=$H7),($R7*(1+((AI$4-2000)*$D$48))),0)))</f>
        <v>0</v>
      </c>
      <c r="AJ7" s="32">
        <f t="shared" si="3"/>
        <v>0</v>
      </c>
      <c r="AK7" s="32">
        <f t="shared" si="3"/>
        <v>0</v>
      </c>
      <c r="AL7" s="32">
        <f t="shared" si="3"/>
        <v>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s="20" customFormat="1" ht="12.75">
      <c r="A8" s="8" t="s">
        <v>21</v>
      </c>
      <c r="B8" s="60" t="s">
        <v>38</v>
      </c>
      <c r="C8" s="28">
        <v>15</v>
      </c>
      <c r="D8" s="28">
        <v>15</v>
      </c>
      <c r="E8" s="12">
        <f aca="true" t="shared" si="4" ref="E8:E31">D8-C8</f>
        <v>0</v>
      </c>
      <c r="F8" s="7">
        <f>2015+E8</f>
        <v>2015</v>
      </c>
      <c r="G8" s="7">
        <f>F8+D8</f>
        <v>2030</v>
      </c>
      <c r="H8" s="7">
        <f>G8+D8</f>
        <v>2045</v>
      </c>
      <c r="I8" s="10">
        <f>I7</f>
        <v>42005</v>
      </c>
      <c r="J8" s="42">
        <v>1</v>
      </c>
      <c r="K8" s="43" t="s">
        <v>76</v>
      </c>
      <c r="L8" s="66">
        <v>10000</v>
      </c>
      <c r="M8" s="71">
        <f aca="true" t="shared" si="5" ref="M8:M31">J8*L8</f>
        <v>10000</v>
      </c>
      <c r="N8" s="2"/>
      <c r="O8" s="8" t="str">
        <f aca="true" t="shared" si="6" ref="O8:O20">A8</f>
        <v>Brick-Grout East Side</v>
      </c>
      <c r="P8" s="16">
        <f aca="true" t="shared" si="7" ref="P8:Q14">D8</f>
        <v>15</v>
      </c>
      <c r="Q8" s="16">
        <f t="shared" si="7"/>
        <v>0</v>
      </c>
      <c r="R8" s="32">
        <f t="shared" si="1"/>
        <v>10000</v>
      </c>
      <c r="S8" s="32">
        <f t="shared" si="2"/>
        <v>14500</v>
      </c>
      <c r="T8" s="32">
        <f t="shared" si="2"/>
        <v>0</v>
      </c>
      <c r="U8" s="32">
        <f t="shared" si="2"/>
        <v>0</v>
      </c>
      <c r="V8" s="32">
        <f t="shared" si="2"/>
        <v>0</v>
      </c>
      <c r="W8" s="32">
        <f t="shared" si="2"/>
        <v>0</v>
      </c>
      <c r="X8" s="32">
        <f t="shared" si="2"/>
        <v>0</v>
      </c>
      <c r="Y8" s="32">
        <f t="shared" si="2"/>
        <v>0</v>
      </c>
      <c r="Z8" s="32">
        <f t="shared" si="2"/>
        <v>0</v>
      </c>
      <c r="AA8" s="32">
        <f t="shared" si="2"/>
        <v>0</v>
      </c>
      <c r="AB8" s="32">
        <f t="shared" si="2"/>
        <v>0</v>
      </c>
      <c r="AC8" s="32">
        <f t="shared" si="2"/>
        <v>0</v>
      </c>
      <c r="AD8" s="32">
        <f t="shared" si="2"/>
        <v>0</v>
      </c>
      <c r="AE8" s="32">
        <f t="shared" si="2"/>
        <v>0</v>
      </c>
      <c r="AF8" s="32">
        <f t="shared" si="2"/>
        <v>0</v>
      </c>
      <c r="AG8" s="32">
        <f t="shared" si="2"/>
        <v>0</v>
      </c>
      <c r="AH8" s="32">
        <f>IF((AH$4=$F8),($R8*(1+((AH$4-2000)*$D$48))),IF((AH$4=$G8),($R8*(1+((AH$4-2000)*$D$48))),IF((AH$4=$H8),($R8*(1+((AH$4-2000)*$D$48))),0)))</f>
        <v>19000</v>
      </c>
      <c r="AI8" s="32">
        <f t="shared" si="3"/>
        <v>0</v>
      </c>
      <c r="AJ8" s="32">
        <f t="shared" si="3"/>
        <v>0</v>
      </c>
      <c r="AK8" s="32">
        <f t="shared" si="3"/>
        <v>0</v>
      </c>
      <c r="AL8" s="32">
        <f t="shared" si="3"/>
        <v>0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20" customFormat="1" ht="22.5">
      <c r="A9" s="8" t="s">
        <v>22</v>
      </c>
      <c r="B9" s="60" t="s">
        <v>68</v>
      </c>
      <c r="C9" s="28">
        <v>5</v>
      </c>
      <c r="D9" s="28">
        <v>7</v>
      </c>
      <c r="E9" s="12">
        <f t="shared" si="4"/>
        <v>2</v>
      </c>
      <c r="F9" s="7">
        <f>2015+E9</f>
        <v>2017</v>
      </c>
      <c r="G9" s="7">
        <f>F9+D9</f>
        <v>2024</v>
      </c>
      <c r="H9" s="7">
        <f>G9+D9</f>
        <v>2031</v>
      </c>
      <c r="I9" s="10">
        <f>I7</f>
        <v>42005</v>
      </c>
      <c r="J9" s="42">
        <v>1</v>
      </c>
      <c r="K9" s="43" t="s">
        <v>76</v>
      </c>
      <c r="L9" s="66">
        <v>8000</v>
      </c>
      <c r="M9" s="71">
        <f t="shared" si="5"/>
        <v>8000</v>
      </c>
      <c r="N9" s="2"/>
      <c r="O9" s="8" t="str">
        <f t="shared" si="6"/>
        <v>East Side - Paint Wall</v>
      </c>
      <c r="P9" s="16">
        <f t="shared" si="7"/>
        <v>7</v>
      </c>
      <c r="Q9" s="16">
        <f t="shared" si="7"/>
        <v>2</v>
      </c>
      <c r="R9" s="32">
        <f t="shared" si="1"/>
        <v>8000</v>
      </c>
      <c r="S9" s="32">
        <f t="shared" si="2"/>
        <v>0</v>
      </c>
      <c r="T9" s="32">
        <f t="shared" si="2"/>
        <v>0</v>
      </c>
      <c r="U9" s="32">
        <f t="shared" si="2"/>
        <v>12080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13760</v>
      </c>
      <c r="AC9" s="32">
        <f t="shared" si="2"/>
        <v>0</v>
      </c>
      <c r="AD9" s="32">
        <f t="shared" si="2"/>
        <v>0</v>
      </c>
      <c r="AE9" s="32">
        <f t="shared" si="2"/>
        <v>0</v>
      </c>
      <c r="AF9" s="32">
        <f t="shared" si="2"/>
        <v>0</v>
      </c>
      <c r="AG9" s="32">
        <f t="shared" si="2"/>
        <v>0</v>
      </c>
      <c r="AH9" s="32">
        <f>IF((AH$4=$F9),($R9*(1+((AH$4-2000)*$D$48))),IF((AH$4=$G9),($R9*(1+((AH$4-2000)*$D$48))),IF((AH$4=$H9),($R9*(1+((AH$4-2000)*$D$48))),0)))</f>
        <v>0</v>
      </c>
      <c r="AI9" s="32">
        <f t="shared" si="3"/>
        <v>15440</v>
      </c>
      <c r="AJ9" s="32">
        <f t="shared" si="3"/>
        <v>0</v>
      </c>
      <c r="AK9" s="32">
        <f t="shared" si="3"/>
        <v>0</v>
      </c>
      <c r="AL9" s="32">
        <f t="shared" si="3"/>
        <v>0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20" customFormat="1" ht="12.75">
      <c r="A10" s="8" t="s">
        <v>23</v>
      </c>
      <c r="B10" s="60" t="s">
        <v>67</v>
      </c>
      <c r="C10" s="28">
        <v>12</v>
      </c>
      <c r="D10" s="28">
        <v>20</v>
      </c>
      <c r="E10" s="12">
        <f t="shared" si="4"/>
        <v>8</v>
      </c>
      <c r="F10" s="7">
        <f>2015+E10</f>
        <v>2023</v>
      </c>
      <c r="G10" s="7">
        <f aca="true" t="shared" si="8" ref="G10:G31">F10+D10</f>
        <v>2043</v>
      </c>
      <c r="H10" s="7">
        <f aca="true" t="shared" si="9" ref="H10:H31">G10+D10</f>
        <v>2063</v>
      </c>
      <c r="I10" s="10">
        <f>I7</f>
        <v>42005</v>
      </c>
      <c r="J10" s="42">
        <f>(135*116)/2+(116*2)+(135*2)+SQRT(116*116+132*132)*2</f>
        <v>8683.45412218382</v>
      </c>
      <c r="K10" s="43" t="s">
        <v>11</v>
      </c>
      <c r="L10" s="66">
        <v>8</v>
      </c>
      <c r="M10" s="71">
        <f t="shared" si="5"/>
        <v>69467.63297747057</v>
      </c>
      <c r="N10" s="2"/>
      <c r="O10" s="8" t="str">
        <f t="shared" si="6"/>
        <v>Roof-upper</v>
      </c>
      <c r="P10" s="16">
        <f t="shared" si="7"/>
        <v>20</v>
      </c>
      <c r="Q10" s="16">
        <f t="shared" si="7"/>
        <v>8</v>
      </c>
      <c r="R10" s="32">
        <f t="shared" si="1"/>
        <v>69467.63297747057</v>
      </c>
      <c r="S10" s="32">
        <f t="shared" si="2"/>
        <v>0</v>
      </c>
      <c r="T10" s="32">
        <f t="shared" si="2"/>
        <v>0</v>
      </c>
      <c r="U10" s="32">
        <f t="shared" si="2"/>
        <v>0</v>
      </c>
      <c r="V10" s="32">
        <f t="shared" si="2"/>
        <v>0</v>
      </c>
      <c r="W10" s="32">
        <f t="shared" si="2"/>
        <v>0</v>
      </c>
      <c r="X10" s="32">
        <f t="shared" si="2"/>
        <v>0</v>
      </c>
      <c r="Y10" s="32">
        <f t="shared" si="2"/>
        <v>0</v>
      </c>
      <c r="Z10" s="32">
        <f t="shared" si="2"/>
        <v>0</v>
      </c>
      <c r="AA10" s="32">
        <f t="shared" si="2"/>
        <v>117400.29973192525</v>
      </c>
      <c r="AB10" s="32">
        <f t="shared" si="2"/>
        <v>0</v>
      </c>
      <c r="AC10" s="32">
        <f t="shared" si="2"/>
        <v>0</v>
      </c>
      <c r="AD10" s="32">
        <f t="shared" si="2"/>
        <v>0</v>
      </c>
      <c r="AE10" s="32">
        <f t="shared" si="2"/>
        <v>0</v>
      </c>
      <c r="AF10" s="32">
        <f t="shared" si="2"/>
        <v>0</v>
      </c>
      <c r="AG10" s="32">
        <f t="shared" si="2"/>
        <v>0</v>
      </c>
      <c r="AH10" s="32">
        <f>IF((AH$4=$F10),($R10*(1+((AH$4-2000)*$D$48))),IF((AH$4=$G10),($R10*(1+((AH$4-2000)*$D$48))),IF((AH$4=$H10),($R10*(1+((AH$4-2000)*$D$48))),0)))</f>
        <v>0</v>
      </c>
      <c r="AI10" s="32">
        <f t="shared" si="3"/>
        <v>0</v>
      </c>
      <c r="AJ10" s="32">
        <f t="shared" si="3"/>
        <v>0</v>
      </c>
      <c r="AK10" s="32">
        <f t="shared" si="3"/>
        <v>0</v>
      </c>
      <c r="AL10" s="32">
        <f t="shared" si="3"/>
        <v>0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20" customFormat="1" ht="12.75">
      <c r="A11" s="8" t="s">
        <v>24</v>
      </c>
      <c r="B11" s="60" t="s">
        <v>67</v>
      </c>
      <c r="C11" s="28">
        <v>12</v>
      </c>
      <c r="D11" s="28">
        <v>15</v>
      </c>
      <c r="E11" s="12">
        <f t="shared" si="4"/>
        <v>3</v>
      </c>
      <c r="F11" s="7">
        <f>2015+E11</f>
        <v>2018</v>
      </c>
      <c r="G11" s="7">
        <f t="shared" si="8"/>
        <v>2033</v>
      </c>
      <c r="H11" s="7">
        <f t="shared" si="9"/>
        <v>2048</v>
      </c>
      <c r="I11" s="10">
        <f>I7</f>
        <v>42005</v>
      </c>
      <c r="J11" s="42">
        <v>360</v>
      </c>
      <c r="K11" s="43" t="s">
        <v>11</v>
      </c>
      <c r="L11" s="66">
        <v>8</v>
      </c>
      <c r="M11" s="71">
        <f t="shared" si="5"/>
        <v>2880</v>
      </c>
      <c r="N11" s="2"/>
      <c r="O11" s="8" t="str">
        <f t="shared" si="6"/>
        <v>Roof-lower</v>
      </c>
      <c r="P11" s="16">
        <f t="shared" si="7"/>
        <v>15</v>
      </c>
      <c r="Q11" s="16">
        <f t="shared" si="7"/>
        <v>3</v>
      </c>
      <c r="R11" s="32">
        <f t="shared" si="1"/>
        <v>2880</v>
      </c>
      <c r="S11" s="32">
        <f t="shared" si="2"/>
        <v>0</v>
      </c>
      <c r="T11" s="32">
        <f t="shared" si="2"/>
        <v>0</v>
      </c>
      <c r="U11" s="32">
        <f t="shared" si="2"/>
        <v>0</v>
      </c>
      <c r="V11" s="32">
        <f t="shared" si="2"/>
        <v>4435.2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 t="shared" si="2"/>
        <v>0</v>
      </c>
      <c r="AB11" s="32">
        <f t="shared" si="2"/>
        <v>0</v>
      </c>
      <c r="AC11" s="32">
        <f t="shared" si="2"/>
        <v>0</v>
      </c>
      <c r="AD11" s="32">
        <f t="shared" si="2"/>
        <v>0</v>
      </c>
      <c r="AE11" s="32">
        <f t="shared" si="2"/>
        <v>0</v>
      </c>
      <c r="AF11" s="32">
        <f t="shared" si="2"/>
        <v>0</v>
      </c>
      <c r="AG11" s="32">
        <f t="shared" si="2"/>
        <v>0</v>
      </c>
      <c r="AH11" s="32">
        <f>IF((AH$4=$F11),($R11*(1+((AH$4-2000)*$D$48))),IF((AH$4=$G11),($R11*(1+((AH$4-2000)*$D$48))),IF((AH$4=$H11),($R11*(1+((AH$4-2000)*$D$48))),0)))</f>
        <v>0</v>
      </c>
      <c r="AI11" s="32">
        <f t="shared" si="3"/>
        <v>0</v>
      </c>
      <c r="AJ11" s="32">
        <f t="shared" si="3"/>
        <v>0</v>
      </c>
      <c r="AK11" s="32">
        <f t="shared" si="3"/>
        <v>5731.2</v>
      </c>
      <c r="AL11" s="32">
        <f t="shared" si="3"/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s="20" customFormat="1" ht="12.75">
      <c r="A12" s="8" t="s">
        <v>25</v>
      </c>
      <c r="B12" s="60" t="s">
        <v>26</v>
      </c>
      <c r="C12" s="28">
        <v>3</v>
      </c>
      <c r="D12" s="28">
        <v>3</v>
      </c>
      <c r="E12" s="12">
        <f t="shared" si="4"/>
        <v>0</v>
      </c>
      <c r="F12" s="7">
        <f>2015+E12</f>
        <v>2015</v>
      </c>
      <c r="G12" s="7">
        <f t="shared" si="8"/>
        <v>2018</v>
      </c>
      <c r="H12" s="7">
        <f t="shared" si="9"/>
        <v>2021</v>
      </c>
      <c r="I12" s="10">
        <f>I7</f>
        <v>42005</v>
      </c>
      <c r="J12" s="42">
        <f>SUM(J10:J11)</f>
        <v>9043.45412218382</v>
      </c>
      <c r="K12" s="43" t="s">
        <v>11</v>
      </c>
      <c r="L12" s="66">
        <v>0.3</v>
      </c>
      <c r="M12" s="71">
        <f t="shared" si="5"/>
        <v>2713.0362366551462</v>
      </c>
      <c r="N12" s="2"/>
      <c r="O12" s="8" t="str">
        <f t="shared" si="6"/>
        <v>Roof-Silver coat</v>
      </c>
      <c r="P12" s="16">
        <f t="shared" si="7"/>
        <v>3</v>
      </c>
      <c r="Q12" s="16">
        <f t="shared" si="7"/>
        <v>0</v>
      </c>
      <c r="R12" s="32">
        <f t="shared" si="1"/>
        <v>2713.0362366551462</v>
      </c>
      <c r="S12" s="32">
        <f aca="true" t="shared" si="10" ref="S12:AA12">IF((S$4=$F12),($R12*(1+((S$4-2000)*$D$48))),IF((S$4=$G12),($R12*(1+((S$4-2000)*$D$48))),IF((S$4=$H12),($R12*(1+((S$4-2000)*$D$48))),0)))</f>
        <v>3933.9025431499617</v>
      </c>
      <c r="T12" s="32">
        <f t="shared" si="10"/>
        <v>0</v>
      </c>
      <c r="U12" s="32">
        <f t="shared" si="10"/>
        <v>0</v>
      </c>
      <c r="V12" s="32">
        <f t="shared" si="10"/>
        <v>4178.075804448926</v>
      </c>
      <c r="W12" s="32">
        <f t="shared" si="10"/>
        <v>0</v>
      </c>
      <c r="X12" s="32">
        <f t="shared" si="10"/>
        <v>0</v>
      </c>
      <c r="Y12" s="32">
        <f t="shared" si="10"/>
        <v>4422.249065747888</v>
      </c>
      <c r="Z12" s="32">
        <f t="shared" si="10"/>
        <v>0</v>
      </c>
      <c r="AA12" s="32">
        <f t="shared" si="10"/>
        <v>0</v>
      </c>
      <c r="AB12" s="32">
        <f>Y12*(1+($D$48)*3)</f>
        <v>4820.251481665198</v>
      </c>
      <c r="AC12" s="32">
        <f>IF((AC$4=$F12),($R12*(1+((AC$4-2000)*$D$48))),IF((AC$4=$G12),($R12*(1+((AC$4-2000)*$D$48))),IF((AC$4=$H12),($R12*(1+((AC$4-2000)*$D$48))),0)))</f>
        <v>0</v>
      </c>
      <c r="AD12" s="32">
        <f>IF((AD$4=$F12),($R12*(1+((AD$4-2000)*$D$48))),IF((AD$4=$G12),($R12*(1+((AD$4-2000)*$D$48))),IF((AD$4=$H12),($R12*(1+((AD$4-2000)*$D$48))),0)))</f>
        <v>0</v>
      </c>
      <c r="AE12" s="32">
        <f>AB12*(1+($D$48)*3)</f>
        <v>5254.074115015066</v>
      </c>
      <c r="AF12" s="32">
        <f>IF((AF$4=$F12),($R12*(1+((AF$4-2000)*$D$48))),IF((AF$4=$G12),($R12*(1+((AF$4-2000)*$D$48))),IF((AF$4=$H12),($R12*(1+((AF$4-2000)*$D$48))),0)))</f>
        <v>0</v>
      </c>
      <c r="AG12" s="32">
        <f>IF((AG$4=$F12),($R12*(1+((AG$4-2000)*$D$48))),IF((AG$4=$G12),($R12*(1+((AG$4-2000)*$D$48))),IF((AG$4=$H12),($R12*(1+((AG$4-2000)*$D$48))),0)))</f>
        <v>0</v>
      </c>
      <c r="AH12" s="32">
        <f>AE12*(1+($D$48)*3)</f>
        <v>5726.9407853664225</v>
      </c>
      <c r="AI12" s="32">
        <f>IF((AI$4=$F12),($R12*(1+((AI$4-2000)*$D$48))),IF((AI$4=$G12),($R12*(1+((AI$4-2000)*$D$48))),IF((AI$4=$H12),($R12*(1+((AI$4-2000)*$D$48))),0)))</f>
        <v>0</v>
      </c>
      <c r="AJ12" s="32">
        <f>IF((AJ$4=$F12),($R12*(1+((AJ$4-2000)*$D$48))),IF((AJ$4=$G12),($R12*(1+((AJ$4-2000)*$D$48))),IF((AJ$4=$H12),($R12*(1+((AJ$4-2000)*$D$48))),0)))</f>
        <v>0</v>
      </c>
      <c r="AK12" s="32">
        <f>AH12*(1+($D$48)*3)</f>
        <v>6242.365456049401</v>
      </c>
      <c r="AL12" s="32">
        <f>IF((AL$4=$F12),($R12*(1+((AL$4-2000)*$D$48))),IF((AL$4=$G12),($R12*(1+((AL$4-2000)*$D$48))),IF((AL$4=$H12),($R12*(1+((AL$4-2000)*$D$48))),0)))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20" customFormat="1" ht="12.75">
      <c r="A13" s="8" t="s">
        <v>69</v>
      </c>
      <c r="B13" s="60" t="s">
        <v>71</v>
      </c>
      <c r="C13" s="28">
        <v>2</v>
      </c>
      <c r="D13" s="28">
        <v>4</v>
      </c>
      <c r="E13" s="12">
        <f t="shared" si="4"/>
        <v>2</v>
      </c>
      <c r="F13" s="7">
        <f>2015+E13</f>
        <v>2017</v>
      </c>
      <c r="G13" s="7">
        <f t="shared" si="8"/>
        <v>2021</v>
      </c>
      <c r="H13" s="7">
        <f t="shared" si="9"/>
        <v>2025</v>
      </c>
      <c r="I13" s="10">
        <f>I7</f>
        <v>42005</v>
      </c>
      <c r="J13" s="42">
        <v>60000</v>
      </c>
      <c r="K13" s="43" t="s">
        <v>11</v>
      </c>
      <c r="L13" s="66">
        <v>0.2</v>
      </c>
      <c r="M13" s="71">
        <f t="shared" si="5"/>
        <v>12000</v>
      </c>
      <c r="N13" s="2"/>
      <c r="O13" s="8" t="str">
        <f t="shared" si="6"/>
        <v>Parking lot seal coat</v>
      </c>
      <c r="P13" s="16">
        <f t="shared" si="7"/>
        <v>4</v>
      </c>
      <c r="Q13" s="16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20" customFormat="1" ht="12.75">
      <c r="A14" s="8" t="s">
        <v>70</v>
      </c>
      <c r="B14" s="60" t="s">
        <v>72</v>
      </c>
      <c r="C14" s="28">
        <v>2</v>
      </c>
      <c r="D14" s="28">
        <v>4</v>
      </c>
      <c r="E14" s="12">
        <f t="shared" si="4"/>
        <v>2</v>
      </c>
      <c r="F14" s="7">
        <f>2015+E14</f>
        <v>2017</v>
      </c>
      <c r="G14" s="7">
        <f t="shared" si="8"/>
        <v>2021</v>
      </c>
      <c r="H14" s="7">
        <f t="shared" si="9"/>
        <v>2025</v>
      </c>
      <c r="I14" s="10">
        <f>I7</f>
        <v>42005</v>
      </c>
      <c r="J14" s="42">
        <v>1</v>
      </c>
      <c r="K14" s="43" t="s">
        <v>76</v>
      </c>
      <c r="L14" s="66">
        <v>750</v>
      </c>
      <c r="M14" s="71">
        <f t="shared" si="5"/>
        <v>750</v>
      </c>
      <c r="N14" s="2"/>
      <c r="O14" s="8" t="str">
        <f t="shared" si="6"/>
        <v>Parking lot stripping</v>
      </c>
      <c r="P14" s="16">
        <f t="shared" si="7"/>
        <v>4</v>
      </c>
      <c r="Q14" s="16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20" customFormat="1" ht="12.75">
      <c r="A15" s="73" t="s">
        <v>92</v>
      </c>
      <c r="B15" s="60"/>
      <c r="C15" s="28"/>
      <c r="D15" s="28"/>
      <c r="E15" s="12"/>
      <c r="F15" s="7"/>
      <c r="G15" s="7"/>
      <c r="H15" s="7"/>
      <c r="I15" s="10"/>
      <c r="J15" s="42"/>
      <c r="K15" s="43"/>
      <c r="L15" s="66"/>
      <c r="M15" s="71"/>
      <c r="N15" s="2"/>
      <c r="O15" s="8"/>
      <c r="P15" s="16"/>
      <c r="Q15" s="16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20" customFormat="1" ht="12.75">
      <c r="A16" s="8"/>
      <c r="B16" s="60"/>
      <c r="C16" s="28"/>
      <c r="D16" s="28"/>
      <c r="E16" s="12"/>
      <c r="F16" s="7"/>
      <c r="G16" s="7"/>
      <c r="H16" s="7"/>
      <c r="I16" s="10"/>
      <c r="J16" s="42"/>
      <c r="K16" s="43"/>
      <c r="L16" s="66"/>
      <c r="M16" s="71"/>
      <c r="N16" s="2"/>
      <c r="O16" s="8"/>
      <c r="P16" s="16"/>
      <c r="Q16" s="1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20" customFormat="1" ht="12.75">
      <c r="A17" s="18" t="s">
        <v>14</v>
      </c>
      <c r="B17" s="60"/>
      <c r="C17" s="28"/>
      <c r="D17" s="28"/>
      <c r="E17" s="12"/>
      <c r="F17" s="7"/>
      <c r="G17" s="7"/>
      <c r="H17" s="7"/>
      <c r="I17" s="10"/>
      <c r="J17" s="42"/>
      <c r="K17" s="43"/>
      <c r="L17" s="66"/>
      <c r="M17" s="71"/>
      <c r="N17" s="2"/>
      <c r="O17" s="18" t="s">
        <v>14</v>
      </c>
      <c r="P17" s="16"/>
      <c r="Q17" s="1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20" customFormat="1" ht="12.75">
      <c r="A18" s="29" t="s">
        <v>59</v>
      </c>
      <c r="B18" s="60" t="s">
        <v>93</v>
      </c>
      <c r="C18" s="28">
        <v>1</v>
      </c>
      <c r="D18" s="28">
        <v>7</v>
      </c>
      <c r="E18" s="12">
        <f t="shared" si="4"/>
        <v>6</v>
      </c>
      <c r="F18" s="7">
        <f>F14</f>
        <v>2017</v>
      </c>
      <c r="G18" s="7">
        <f t="shared" si="8"/>
        <v>2024</v>
      </c>
      <c r="H18" s="7">
        <f t="shared" si="9"/>
        <v>2031</v>
      </c>
      <c r="I18" s="10">
        <f>I7</f>
        <v>42005</v>
      </c>
      <c r="J18" s="42">
        <v>1</v>
      </c>
      <c r="K18" s="43" t="s">
        <v>10</v>
      </c>
      <c r="L18" s="66">
        <v>100</v>
      </c>
      <c r="M18" s="71">
        <f t="shared" si="5"/>
        <v>100</v>
      </c>
      <c r="N18" s="2"/>
      <c r="O18" s="8" t="str">
        <f t="shared" si="6"/>
        <v>Painting</v>
      </c>
      <c r="P18" s="16">
        <f aca="true" t="shared" si="11" ref="P18:P31">D18</f>
        <v>7</v>
      </c>
      <c r="Q18" s="16">
        <f aca="true" t="shared" si="12" ref="Q18:Q31">E18</f>
        <v>6</v>
      </c>
      <c r="R18" s="32">
        <f aca="true" t="shared" si="13" ref="R18:R31">M18</f>
        <v>100</v>
      </c>
      <c r="S18" s="32">
        <f>R18*(1+D48)</f>
        <v>103</v>
      </c>
      <c r="T18" s="32">
        <f>S18*(1+D48)</f>
        <v>106.09</v>
      </c>
      <c r="U18" s="32">
        <f>T18*(1+D48)</f>
        <v>109.2727</v>
      </c>
      <c r="V18" s="32">
        <f>U18*(1+D48)</f>
        <v>112.550881</v>
      </c>
      <c r="W18" s="32">
        <f>V18*(1+D48)</f>
        <v>115.92740743</v>
      </c>
      <c r="X18" s="32">
        <f>W18*(1+D48)</f>
        <v>119.4052296529</v>
      </c>
      <c r="Y18" s="32">
        <f>X18*(1+D48)</f>
        <v>122.987386542487</v>
      </c>
      <c r="Z18" s="32">
        <f>Y18*(1+D48)</f>
        <v>126.67700813876162</v>
      </c>
      <c r="AA18" s="32">
        <f>Z18*(1+D48)</f>
        <v>130.47731838292447</v>
      </c>
      <c r="AB18" s="32">
        <f>AA18*(1+DG48)</f>
        <v>130.47731838292447</v>
      </c>
      <c r="AC18" s="32">
        <f>AB18*(1+D48)</f>
        <v>134.39163793441222</v>
      </c>
      <c r="AD18" s="32">
        <f>AC18*(1+D48)</f>
        <v>138.4233870724446</v>
      </c>
      <c r="AE18" s="32">
        <f>AD18*(1+D48)</f>
        <v>142.57608868461793</v>
      </c>
      <c r="AF18" s="32">
        <f>AE18*(1+D48)</f>
        <v>146.85337134515646</v>
      </c>
      <c r="AG18" s="32">
        <f>AF18*(1+D48)</f>
        <v>151.25897248551115</v>
      </c>
      <c r="AH18" s="32">
        <f>AG18*(1+D48)</f>
        <v>155.7967416600765</v>
      </c>
      <c r="AI18" s="32">
        <f>AH18*(1+D48)</f>
        <v>160.4706439098788</v>
      </c>
      <c r="AJ18" s="32">
        <f>AI18*(1+D48)</f>
        <v>165.28476322717515</v>
      </c>
      <c r="AK18" s="32">
        <f>AJ18*(1+D48)</f>
        <v>170.2433061239904</v>
      </c>
      <c r="AL18" s="32">
        <f>AK18*(1+D48)</f>
        <v>175.3506053077101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20" customFormat="1" ht="12.75">
      <c r="A19" s="29" t="s">
        <v>60</v>
      </c>
      <c r="B19" s="60" t="s">
        <v>61</v>
      </c>
      <c r="C19" s="28">
        <v>3</v>
      </c>
      <c r="D19" s="28">
        <v>10</v>
      </c>
      <c r="E19" s="12">
        <f t="shared" si="4"/>
        <v>7</v>
      </c>
      <c r="F19" s="7">
        <f>F18</f>
        <v>2017</v>
      </c>
      <c r="G19" s="7">
        <f t="shared" si="8"/>
        <v>2027</v>
      </c>
      <c r="H19" s="7">
        <f t="shared" si="9"/>
        <v>2037</v>
      </c>
      <c r="I19" s="10">
        <f>I7</f>
        <v>42005</v>
      </c>
      <c r="J19" s="42">
        <v>1</v>
      </c>
      <c r="K19" s="43" t="s">
        <v>10</v>
      </c>
      <c r="L19" s="66">
        <v>10000</v>
      </c>
      <c r="M19" s="71">
        <f t="shared" si="5"/>
        <v>10000</v>
      </c>
      <c r="N19" s="2"/>
      <c r="O19" s="8" t="str">
        <f t="shared" si="6"/>
        <v>Carpet Replacement</v>
      </c>
      <c r="P19" s="16">
        <f t="shared" si="11"/>
        <v>10</v>
      </c>
      <c r="Q19" s="16">
        <f t="shared" si="12"/>
        <v>7</v>
      </c>
      <c r="R19" s="3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20" customFormat="1" ht="12.75">
      <c r="A20" s="29" t="s">
        <v>62</v>
      </c>
      <c r="B20" s="60" t="s">
        <v>63</v>
      </c>
      <c r="C20" s="28">
        <v>1</v>
      </c>
      <c r="D20" s="28">
        <v>1</v>
      </c>
      <c r="E20" s="12">
        <f t="shared" si="4"/>
        <v>0</v>
      </c>
      <c r="F20" s="7">
        <f>F18</f>
        <v>2017</v>
      </c>
      <c r="G20" s="7">
        <f t="shared" si="8"/>
        <v>2018</v>
      </c>
      <c r="H20" s="7">
        <f t="shared" si="9"/>
        <v>2019</v>
      </c>
      <c r="I20" s="10">
        <f>I7</f>
        <v>42005</v>
      </c>
      <c r="J20" s="42">
        <v>2</v>
      </c>
      <c r="K20" s="43" t="s">
        <v>10</v>
      </c>
      <c r="L20" s="66">
        <v>75</v>
      </c>
      <c r="M20" s="71">
        <f t="shared" si="5"/>
        <v>150</v>
      </c>
      <c r="N20" s="2"/>
      <c r="O20" s="8" t="str">
        <f t="shared" si="6"/>
        <v>VCT Replacement</v>
      </c>
      <c r="P20" s="16">
        <f t="shared" si="11"/>
        <v>1</v>
      </c>
      <c r="Q20" s="16">
        <f t="shared" si="12"/>
        <v>0</v>
      </c>
      <c r="R20" s="32">
        <f t="shared" si="13"/>
        <v>150</v>
      </c>
      <c r="S20" s="32">
        <f>R20*(1+$D$48)</f>
        <v>154.5</v>
      </c>
      <c r="T20" s="32">
        <f aca="true" t="shared" si="14" ref="T20:AL20">S20*(1+$D$48)</f>
        <v>159.135</v>
      </c>
      <c r="U20" s="32">
        <f t="shared" si="14"/>
        <v>163.90905</v>
      </c>
      <c r="V20" s="32">
        <f t="shared" si="14"/>
        <v>168.8263215</v>
      </c>
      <c r="W20" s="32">
        <f t="shared" si="14"/>
        <v>173.891111145</v>
      </c>
      <c r="X20" s="32">
        <f t="shared" si="14"/>
        <v>179.10784447935</v>
      </c>
      <c r="Y20" s="32">
        <f t="shared" si="14"/>
        <v>184.4810798137305</v>
      </c>
      <c r="Z20" s="32">
        <f t="shared" si="14"/>
        <v>190.0155122081424</v>
      </c>
      <c r="AA20" s="32">
        <f t="shared" si="14"/>
        <v>195.7159775743867</v>
      </c>
      <c r="AB20" s="32">
        <f t="shared" si="14"/>
        <v>201.5874569016183</v>
      </c>
      <c r="AC20" s="32">
        <f t="shared" si="14"/>
        <v>207.63508060866687</v>
      </c>
      <c r="AD20" s="32">
        <f t="shared" si="14"/>
        <v>213.86413302692688</v>
      </c>
      <c r="AE20" s="32">
        <f t="shared" si="14"/>
        <v>220.2800570177347</v>
      </c>
      <c r="AF20" s="32">
        <f t="shared" si="14"/>
        <v>226.88845872826673</v>
      </c>
      <c r="AG20" s="32">
        <f t="shared" si="14"/>
        <v>233.69511249011472</v>
      </c>
      <c r="AH20" s="32">
        <f t="shared" si="14"/>
        <v>240.70596586481818</v>
      </c>
      <c r="AI20" s="32">
        <f t="shared" si="14"/>
        <v>247.92714484076274</v>
      </c>
      <c r="AJ20" s="32">
        <f>AI20*(1+$D$48)</f>
        <v>255.3649591859856</v>
      </c>
      <c r="AK20" s="32">
        <f t="shared" si="14"/>
        <v>263.02590796156517</v>
      </c>
      <c r="AL20" s="32">
        <f t="shared" si="14"/>
        <v>270.91668520041213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20" customFormat="1" ht="12.75">
      <c r="A21" s="73" t="s">
        <v>92</v>
      </c>
      <c r="B21" s="60"/>
      <c r="C21" s="28"/>
      <c r="D21" s="28"/>
      <c r="E21" s="12"/>
      <c r="F21" s="7"/>
      <c r="G21" s="7"/>
      <c r="H21" s="7"/>
      <c r="I21" s="10"/>
      <c r="J21" s="42"/>
      <c r="K21" s="43"/>
      <c r="L21" s="66"/>
      <c r="M21" s="71"/>
      <c r="N21" s="2"/>
      <c r="O21" s="8"/>
      <c r="P21" s="16"/>
      <c r="Q21" s="16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20" customFormat="1" ht="12.75">
      <c r="A22" s="29"/>
      <c r="B22" s="60"/>
      <c r="C22" s="28"/>
      <c r="D22" s="28"/>
      <c r="E22" s="12"/>
      <c r="F22" s="7"/>
      <c r="G22" s="7"/>
      <c r="H22" s="7"/>
      <c r="I22" s="10"/>
      <c r="J22" s="42"/>
      <c r="K22" s="43"/>
      <c r="L22" s="66"/>
      <c r="M22" s="71"/>
      <c r="N22" s="2"/>
      <c r="O22" s="8"/>
      <c r="P22" s="16"/>
      <c r="Q22" s="16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20" customFormat="1" ht="12.75">
      <c r="A23" s="18" t="s">
        <v>27</v>
      </c>
      <c r="B23" s="60"/>
      <c r="C23" s="28"/>
      <c r="D23" s="28"/>
      <c r="E23" s="12">
        <f t="shared" si="4"/>
        <v>0</v>
      </c>
      <c r="F23" s="7"/>
      <c r="G23" s="7"/>
      <c r="H23" s="7"/>
      <c r="I23" s="10"/>
      <c r="J23" s="42"/>
      <c r="K23" s="43"/>
      <c r="L23" s="66"/>
      <c r="M23" s="71"/>
      <c r="N23" s="2"/>
      <c r="O23" s="18" t="s">
        <v>27</v>
      </c>
      <c r="P23" s="16"/>
      <c r="Q23" s="1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>
        <f aca="true" t="shared" si="15" ref="AH23:AL31">IF((AH$4=$F23),($R23*(1+((AH$4-2000)*$D$48))),IF((AH$4=$G23),($R23*(1+((AH$4-2000)*$D$48))),IF((AH$4=$H23),($R23*(1+((AH$4-2000)*$D$48))),0)))</f>
        <v>0</v>
      </c>
      <c r="AI23" s="32">
        <f t="shared" si="15"/>
        <v>0</v>
      </c>
      <c r="AJ23" s="32">
        <f t="shared" si="15"/>
        <v>0</v>
      </c>
      <c r="AK23" s="32">
        <f t="shared" si="15"/>
        <v>0</v>
      </c>
      <c r="AL23" s="32">
        <f t="shared" si="15"/>
        <v>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20" customFormat="1" ht="12.75">
      <c r="A24" s="8" t="s">
        <v>28</v>
      </c>
      <c r="B24" s="60" t="s">
        <v>75</v>
      </c>
      <c r="C24" s="28">
        <v>6</v>
      </c>
      <c r="D24" s="28">
        <v>25</v>
      </c>
      <c r="E24" s="12">
        <f t="shared" si="4"/>
        <v>19</v>
      </c>
      <c r="F24" s="7">
        <f>2015+E24</f>
        <v>2034</v>
      </c>
      <c r="G24" s="7">
        <f t="shared" si="8"/>
        <v>2059</v>
      </c>
      <c r="H24" s="7">
        <f t="shared" si="9"/>
        <v>2084</v>
      </c>
      <c r="I24" s="10">
        <f>I7</f>
        <v>42005</v>
      </c>
      <c r="J24" s="42">
        <v>1</v>
      </c>
      <c r="K24" s="43" t="s">
        <v>10</v>
      </c>
      <c r="L24" s="66">
        <v>2000</v>
      </c>
      <c r="M24" s="71">
        <f t="shared" si="5"/>
        <v>2000</v>
      </c>
      <c r="N24" s="2"/>
      <c r="O24" s="8" t="str">
        <f aca="true" t="shared" si="16" ref="O24:O31">A24</f>
        <v>Steamer</v>
      </c>
      <c r="P24" s="16">
        <f t="shared" si="11"/>
        <v>25</v>
      </c>
      <c r="Q24" s="16">
        <f t="shared" si="12"/>
        <v>19</v>
      </c>
      <c r="R24" s="32">
        <f t="shared" si="13"/>
        <v>2000</v>
      </c>
      <c r="S24" s="32">
        <f aca="true" t="shared" si="17" ref="S24:AG31">IF((S$4=$F24),($R24*(1+((S$4-2000)*$D$48))),IF((S$4=$G24),($R24*(1+((S$4-2000)*$D$48))),IF((S$4=$H24),($R24*(1+((S$4-2000)*$D$48))),0)))</f>
        <v>0</v>
      </c>
      <c r="T24" s="32">
        <f t="shared" si="17"/>
        <v>0</v>
      </c>
      <c r="U24" s="32">
        <f t="shared" si="17"/>
        <v>0</v>
      </c>
      <c r="V24" s="32">
        <f t="shared" si="17"/>
        <v>0</v>
      </c>
      <c r="W24" s="32">
        <f t="shared" si="17"/>
        <v>0</v>
      </c>
      <c r="X24" s="32">
        <f t="shared" si="17"/>
        <v>0</v>
      </c>
      <c r="Y24" s="32">
        <f t="shared" si="17"/>
        <v>0</v>
      </c>
      <c r="Z24" s="32">
        <f t="shared" si="17"/>
        <v>0</v>
      </c>
      <c r="AA24" s="32">
        <f t="shared" si="17"/>
        <v>0</v>
      </c>
      <c r="AB24" s="32">
        <f t="shared" si="17"/>
        <v>0</v>
      </c>
      <c r="AC24" s="32">
        <f t="shared" si="17"/>
        <v>0</v>
      </c>
      <c r="AD24" s="32">
        <f t="shared" si="17"/>
        <v>0</v>
      </c>
      <c r="AE24" s="32">
        <f t="shared" si="17"/>
        <v>0</v>
      </c>
      <c r="AF24" s="32">
        <f t="shared" si="17"/>
        <v>0</v>
      </c>
      <c r="AG24" s="32">
        <f t="shared" si="17"/>
        <v>0</v>
      </c>
      <c r="AH24" s="32">
        <f t="shared" si="15"/>
        <v>0</v>
      </c>
      <c r="AI24" s="32">
        <f t="shared" si="15"/>
        <v>0</v>
      </c>
      <c r="AJ24" s="32">
        <f t="shared" si="15"/>
        <v>0</v>
      </c>
      <c r="AK24" s="32">
        <f t="shared" si="15"/>
        <v>0</v>
      </c>
      <c r="AL24" s="32">
        <f t="shared" si="15"/>
        <v>4040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20" customFormat="1" ht="12.75">
      <c r="A25" s="8" t="s">
        <v>29</v>
      </c>
      <c r="B25" s="60" t="s">
        <v>73</v>
      </c>
      <c r="C25" s="28">
        <v>10</v>
      </c>
      <c r="D25" s="28">
        <v>30</v>
      </c>
      <c r="E25" s="12">
        <f t="shared" si="4"/>
        <v>20</v>
      </c>
      <c r="F25" s="7">
        <f aca="true" t="shared" si="18" ref="F25:F31">2015+E25</f>
        <v>2035</v>
      </c>
      <c r="G25" s="7">
        <f t="shared" si="8"/>
        <v>2065</v>
      </c>
      <c r="H25" s="7">
        <f t="shared" si="9"/>
        <v>2095</v>
      </c>
      <c r="I25" s="10">
        <f>I8</f>
        <v>42005</v>
      </c>
      <c r="J25" s="42">
        <v>2</v>
      </c>
      <c r="K25" s="43" t="s">
        <v>10</v>
      </c>
      <c r="L25" s="66">
        <v>5000</v>
      </c>
      <c r="M25" s="71">
        <f t="shared" si="5"/>
        <v>10000</v>
      </c>
      <c r="N25" s="2"/>
      <c r="O25" s="8" t="str">
        <f t="shared" si="16"/>
        <v>Stoves</v>
      </c>
      <c r="P25" s="16">
        <f t="shared" si="11"/>
        <v>30</v>
      </c>
      <c r="Q25" s="16">
        <f t="shared" si="12"/>
        <v>20</v>
      </c>
      <c r="R25" s="32">
        <f t="shared" si="13"/>
        <v>10000</v>
      </c>
      <c r="S25" s="32">
        <f t="shared" si="17"/>
        <v>0</v>
      </c>
      <c r="T25" s="32">
        <f t="shared" si="17"/>
        <v>0</v>
      </c>
      <c r="U25" s="32">
        <f t="shared" si="17"/>
        <v>0</v>
      </c>
      <c r="V25" s="32">
        <f t="shared" si="17"/>
        <v>0</v>
      </c>
      <c r="W25" s="32">
        <f t="shared" si="17"/>
        <v>0</v>
      </c>
      <c r="X25" s="32">
        <f t="shared" si="17"/>
        <v>0</v>
      </c>
      <c r="Y25" s="32">
        <f t="shared" si="17"/>
        <v>0</v>
      </c>
      <c r="Z25" s="32">
        <f t="shared" si="17"/>
        <v>0</v>
      </c>
      <c r="AA25" s="32">
        <f t="shared" si="17"/>
        <v>0</v>
      </c>
      <c r="AB25" s="32">
        <f t="shared" si="17"/>
        <v>0</v>
      </c>
      <c r="AC25" s="32">
        <f t="shared" si="17"/>
        <v>0</v>
      </c>
      <c r="AD25" s="32">
        <f t="shared" si="17"/>
        <v>0</v>
      </c>
      <c r="AE25" s="32">
        <f t="shared" si="17"/>
        <v>0</v>
      </c>
      <c r="AF25" s="32">
        <f t="shared" si="17"/>
        <v>0</v>
      </c>
      <c r="AG25" s="32">
        <f t="shared" si="17"/>
        <v>0</v>
      </c>
      <c r="AH25" s="32">
        <f t="shared" si="15"/>
        <v>0</v>
      </c>
      <c r="AI25" s="32">
        <f t="shared" si="15"/>
        <v>0</v>
      </c>
      <c r="AJ25" s="32">
        <f t="shared" si="15"/>
        <v>0</v>
      </c>
      <c r="AK25" s="32">
        <f t="shared" si="15"/>
        <v>0</v>
      </c>
      <c r="AL25" s="32">
        <f t="shared" si="15"/>
        <v>0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20" customFormat="1" ht="12.75">
      <c r="A26" s="8" t="s">
        <v>30</v>
      </c>
      <c r="B26" s="60" t="s">
        <v>75</v>
      </c>
      <c r="C26" s="28">
        <v>1</v>
      </c>
      <c r="D26" s="28">
        <v>25</v>
      </c>
      <c r="E26" s="12">
        <f t="shared" si="4"/>
        <v>24</v>
      </c>
      <c r="F26" s="7">
        <f t="shared" si="18"/>
        <v>2039</v>
      </c>
      <c r="G26" s="7">
        <f t="shared" si="8"/>
        <v>2064</v>
      </c>
      <c r="H26" s="7">
        <f t="shared" si="9"/>
        <v>2089</v>
      </c>
      <c r="I26" s="10">
        <f>I7</f>
        <v>42005</v>
      </c>
      <c r="J26" s="42">
        <v>1</v>
      </c>
      <c r="K26" s="43" t="s">
        <v>10</v>
      </c>
      <c r="L26" s="66">
        <v>3000</v>
      </c>
      <c r="M26" s="71">
        <f t="shared" si="5"/>
        <v>3000</v>
      </c>
      <c r="N26" s="2"/>
      <c r="O26" s="8" t="str">
        <f t="shared" si="16"/>
        <v>Convection oven</v>
      </c>
      <c r="P26" s="16">
        <f t="shared" si="11"/>
        <v>25</v>
      </c>
      <c r="Q26" s="16">
        <f t="shared" si="12"/>
        <v>24</v>
      </c>
      <c r="R26" s="32">
        <f t="shared" si="13"/>
        <v>3000</v>
      </c>
      <c r="S26" s="32">
        <f t="shared" si="17"/>
        <v>0</v>
      </c>
      <c r="T26" s="32">
        <f t="shared" si="17"/>
        <v>0</v>
      </c>
      <c r="U26" s="32">
        <f t="shared" si="17"/>
        <v>0</v>
      </c>
      <c r="V26" s="32">
        <f t="shared" si="17"/>
        <v>0</v>
      </c>
      <c r="W26" s="32">
        <f t="shared" si="17"/>
        <v>0</v>
      </c>
      <c r="X26" s="32">
        <f t="shared" si="17"/>
        <v>0</v>
      </c>
      <c r="Y26" s="32">
        <f t="shared" si="17"/>
        <v>0</v>
      </c>
      <c r="Z26" s="32">
        <f t="shared" si="17"/>
        <v>0</v>
      </c>
      <c r="AA26" s="32">
        <f t="shared" si="17"/>
        <v>0</v>
      </c>
      <c r="AB26" s="32">
        <f t="shared" si="17"/>
        <v>0</v>
      </c>
      <c r="AC26" s="32">
        <f t="shared" si="17"/>
        <v>0</v>
      </c>
      <c r="AD26" s="32">
        <f t="shared" si="17"/>
        <v>0</v>
      </c>
      <c r="AE26" s="32">
        <f t="shared" si="17"/>
        <v>0</v>
      </c>
      <c r="AF26" s="32">
        <f t="shared" si="17"/>
        <v>0</v>
      </c>
      <c r="AG26" s="32">
        <f t="shared" si="17"/>
        <v>0</v>
      </c>
      <c r="AH26" s="32">
        <f t="shared" si="15"/>
        <v>0</v>
      </c>
      <c r="AI26" s="32">
        <f t="shared" si="15"/>
        <v>0</v>
      </c>
      <c r="AJ26" s="32">
        <f t="shared" si="15"/>
        <v>0</v>
      </c>
      <c r="AK26" s="32">
        <f t="shared" si="15"/>
        <v>0</v>
      </c>
      <c r="AL26" s="32">
        <f t="shared" si="15"/>
        <v>0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20" customFormat="1" ht="12.75">
      <c r="A27" s="8" t="s">
        <v>74</v>
      </c>
      <c r="B27" s="60" t="s">
        <v>75</v>
      </c>
      <c r="C27" s="28">
        <v>12</v>
      </c>
      <c r="D27" s="28">
        <v>35</v>
      </c>
      <c r="E27" s="12">
        <f t="shared" si="4"/>
        <v>23</v>
      </c>
      <c r="F27" s="7">
        <f t="shared" si="18"/>
        <v>2038</v>
      </c>
      <c r="G27" s="7">
        <f t="shared" si="8"/>
        <v>2073</v>
      </c>
      <c r="H27" s="7">
        <f t="shared" si="9"/>
        <v>2108</v>
      </c>
      <c r="I27" s="10">
        <f>I7</f>
        <v>42005</v>
      </c>
      <c r="J27" s="42">
        <v>1</v>
      </c>
      <c r="K27" s="43" t="s">
        <v>10</v>
      </c>
      <c r="L27" s="66">
        <v>1500</v>
      </c>
      <c r="M27" s="71">
        <f t="shared" si="5"/>
        <v>1500</v>
      </c>
      <c r="N27" s="2"/>
      <c r="O27" s="8" t="str">
        <f t="shared" si="16"/>
        <v>Mixer</v>
      </c>
      <c r="P27" s="16">
        <f t="shared" si="11"/>
        <v>35</v>
      </c>
      <c r="Q27" s="16">
        <f t="shared" si="12"/>
        <v>23</v>
      </c>
      <c r="R27" s="32">
        <f t="shared" si="13"/>
        <v>1500</v>
      </c>
      <c r="S27" s="32">
        <f t="shared" si="17"/>
        <v>0</v>
      </c>
      <c r="T27" s="32">
        <f t="shared" si="17"/>
        <v>0</v>
      </c>
      <c r="U27" s="32">
        <f t="shared" si="17"/>
        <v>0</v>
      </c>
      <c r="V27" s="32">
        <f t="shared" si="17"/>
        <v>0</v>
      </c>
      <c r="W27" s="32">
        <f t="shared" si="17"/>
        <v>0</v>
      </c>
      <c r="X27" s="32">
        <f t="shared" si="17"/>
        <v>0</v>
      </c>
      <c r="Y27" s="32">
        <f t="shared" si="17"/>
        <v>0</v>
      </c>
      <c r="Z27" s="32">
        <f t="shared" si="17"/>
        <v>0</v>
      </c>
      <c r="AA27" s="32">
        <f t="shared" si="17"/>
        <v>0</v>
      </c>
      <c r="AB27" s="32">
        <f t="shared" si="17"/>
        <v>0</v>
      </c>
      <c r="AC27" s="32">
        <f t="shared" si="17"/>
        <v>0</v>
      </c>
      <c r="AD27" s="32">
        <f t="shared" si="17"/>
        <v>0</v>
      </c>
      <c r="AE27" s="32">
        <f t="shared" si="17"/>
        <v>0</v>
      </c>
      <c r="AF27" s="32">
        <f t="shared" si="17"/>
        <v>0</v>
      </c>
      <c r="AG27" s="32">
        <f t="shared" si="17"/>
        <v>0</v>
      </c>
      <c r="AH27" s="32">
        <f t="shared" si="15"/>
        <v>0</v>
      </c>
      <c r="AI27" s="32">
        <f t="shared" si="15"/>
        <v>0</v>
      </c>
      <c r="AJ27" s="32">
        <f t="shared" si="15"/>
        <v>0</v>
      </c>
      <c r="AK27" s="32">
        <f t="shared" si="15"/>
        <v>0</v>
      </c>
      <c r="AL27" s="32">
        <f t="shared" si="15"/>
        <v>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20" customFormat="1" ht="12.75">
      <c r="A28" s="8" t="s">
        <v>31</v>
      </c>
      <c r="B28" s="60" t="s">
        <v>32</v>
      </c>
      <c r="C28" s="28">
        <v>8</v>
      </c>
      <c r="D28" s="28">
        <v>40</v>
      </c>
      <c r="E28" s="12">
        <f t="shared" si="4"/>
        <v>32</v>
      </c>
      <c r="F28" s="7">
        <f t="shared" si="18"/>
        <v>2047</v>
      </c>
      <c r="G28" s="7">
        <f t="shared" si="8"/>
        <v>2087</v>
      </c>
      <c r="H28" s="7">
        <f t="shared" si="9"/>
        <v>2127</v>
      </c>
      <c r="I28" s="10">
        <f>I7</f>
        <v>42005</v>
      </c>
      <c r="J28" s="42">
        <v>1</v>
      </c>
      <c r="K28" s="43" t="s">
        <v>10</v>
      </c>
      <c r="L28" s="66">
        <v>2500</v>
      </c>
      <c r="M28" s="71">
        <f t="shared" si="5"/>
        <v>2500</v>
      </c>
      <c r="N28" s="2"/>
      <c r="O28" s="8" t="str">
        <f t="shared" si="16"/>
        <v>Walk In Cooler/Freezer</v>
      </c>
      <c r="P28" s="16">
        <f t="shared" si="11"/>
        <v>40</v>
      </c>
      <c r="Q28" s="16">
        <f t="shared" si="12"/>
        <v>32</v>
      </c>
      <c r="R28" s="32">
        <f t="shared" si="13"/>
        <v>2500</v>
      </c>
      <c r="S28" s="32">
        <f t="shared" si="17"/>
        <v>0</v>
      </c>
      <c r="T28" s="32">
        <f t="shared" si="17"/>
        <v>0</v>
      </c>
      <c r="U28" s="32">
        <f t="shared" si="17"/>
        <v>0</v>
      </c>
      <c r="V28" s="32">
        <f t="shared" si="17"/>
        <v>0</v>
      </c>
      <c r="W28" s="32">
        <f t="shared" si="17"/>
        <v>0</v>
      </c>
      <c r="X28" s="32">
        <f t="shared" si="17"/>
        <v>0</v>
      </c>
      <c r="Y28" s="32">
        <f t="shared" si="17"/>
        <v>0</v>
      </c>
      <c r="Z28" s="32">
        <f t="shared" si="17"/>
        <v>0</v>
      </c>
      <c r="AA28" s="32">
        <f t="shared" si="17"/>
        <v>0</v>
      </c>
      <c r="AB28" s="32">
        <f t="shared" si="17"/>
        <v>0</v>
      </c>
      <c r="AC28" s="32">
        <f t="shared" si="17"/>
        <v>0</v>
      </c>
      <c r="AD28" s="32">
        <f t="shared" si="17"/>
        <v>0</v>
      </c>
      <c r="AE28" s="32">
        <f t="shared" si="17"/>
        <v>0</v>
      </c>
      <c r="AF28" s="32">
        <f t="shared" si="17"/>
        <v>0</v>
      </c>
      <c r="AG28" s="32">
        <f t="shared" si="17"/>
        <v>0</v>
      </c>
      <c r="AH28" s="32">
        <f t="shared" si="15"/>
        <v>0</v>
      </c>
      <c r="AI28" s="32">
        <f t="shared" si="15"/>
        <v>0</v>
      </c>
      <c r="AJ28" s="32">
        <f t="shared" si="15"/>
        <v>0</v>
      </c>
      <c r="AK28" s="32">
        <f t="shared" si="15"/>
        <v>0</v>
      </c>
      <c r="AL28" s="32">
        <f t="shared" si="15"/>
        <v>0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20" customFormat="1" ht="12.75">
      <c r="A29" s="8" t="s">
        <v>33</v>
      </c>
      <c r="B29" s="60" t="s">
        <v>32</v>
      </c>
      <c r="C29" s="28">
        <v>5</v>
      </c>
      <c r="D29" s="28">
        <v>40</v>
      </c>
      <c r="E29" s="12">
        <f t="shared" si="4"/>
        <v>35</v>
      </c>
      <c r="F29" s="7">
        <f t="shared" si="18"/>
        <v>2050</v>
      </c>
      <c r="G29" s="7">
        <f t="shared" si="8"/>
        <v>2090</v>
      </c>
      <c r="H29" s="7">
        <f t="shared" si="9"/>
        <v>2130</v>
      </c>
      <c r="I29" s="10">
        <f>I7</f>
        <v>42005</v>
      </c>
      <c r="J29" s="42">
        <v>1</v>
      </c>
      <c r="K29" s="43" t="s">
        <v>10</v>
      </c>
      <c r="L29" s="66">
        <v>1200</v>
      </c>
      <c r="M29" s="71">
        <f t="shared" si="5"/>
        <v>1200</v>
      </c>
      <c r="N29" s="2"/>
      <c r="O29" s="8" t="str">
        <f t="shared" si="16"/>
        <v>Double Wide Fridges</v>
      </c>
      <c r="P29" s="16">
        <f t="shared" si="11"/>
        <v>40</v>
      </c>
      <c r="Q29" s="16">
        <f t="shared" si="12"/>
        <v>35</v>
      </c>
      <c r="R29" s="32">
        <f t="shared" si="13"/>
        <v>1200</v>
      </c>
      <c r="S29" s="32">
        <f t="shared" si="17"/>
        <v>0</v>
      </c>
      <c r="T29" s="32">
        <f t="shared" si="17"/>
        <v>0</v>
      </c>
      <c r="U29" s="32">
        <f t="shared" si="17"/>
        <v>0</v>
      </c>
      <c r="V29" s="32">
        <f t="shared" si="17"/>
        <v>0</v>
      </c>
      <c r="W29" s="32">
        <f t="shared" si="17"/>
        <v>0</v>
      </c>
      <c r="X29" s="32">
        <f t="shared" si="17"/>
        <v>0</v>
      </c>
      <c r="Y29" s="32">
        <f t="shared" si="17"/>
        <v>0</v>
      </c>
      <c r="Z29" s="32">
        <f t="shared" si="17"/>
        <v>0</v>
      </c>
      <c r="AA29" s="32">
        <f t="shared" si="17"/>
        <v>0</v>
      </c>
      <c r="AB29" s="32">
        <f t="shared" si="17"/>
        <v>0</v>
      </c>
      <c r="AC29" s="32">
        <f t="shared" si="17"/>
        <v>0</v>
      </c>
      <c r="AD29" s="32">
        <f t="shared" si="17"/>
        <v>0</v>
      </c>
      <c r="AE29" s="32">
        <f t="shared" si="17"/>
        <v>0</v>
      </c>
      <c r="AF29" s="32">
        <f t="shared" si="17"/>
        <v>0</v>
      </c>
      <c r="AG29" s="32">
        <f t="shared" si="17"/>
        <v>0</v>
      </c>
      <c r="AH29" s="32">
        <f t="shared" si="15"/>
        <v>0</v>
      </c>
      <c r="AI29" s="32">
        <f t="shared" si="15"/>
        <v>0</v>
      </c>
      <c r="AJ29" s="32">
        <f t="shared" si="15"/>
        <v>0</v>
      </c>
      <c r="AK29" s="32">
        <f t="shared" si="15"/>
        <v>0</v>
      </c>
      <c r="AL29" s="32">
        <f t="shared" si="15"/>
        <v>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20" customFormat="1" ht="12.75">
      <c r="A30" s="8" t="s">
        <v>34</v>
      </c>
      <c r="B30" s="60" t="s">
        <v>75</v>
      </c>
      <c r="C30" s="28">
        <v>12</v>
      </c>
      <c r="D30" s="28">
        <v>30</v>
      </c>
      <c r="E30" s="12">
        <f t="shared" si="4"/>
        <v>18</v>
      </c>
      <c r="F30" s="7">
        <f t="shared" si="18"/>
        <v>2033</v>
      </c>
      <c r="G30" s="7">
        <f t="shared" si="8"/>
        <v>2063</v>
      </c>
      <c r="H30" s="7">
        <f t="shared" si="9"/>
        <v>2093</v>
      </c>
      <c r="I30" s="10">
        <f>I7</f>
        <v>42005</v>
      </c>
      <c r="J30" s="42">
        <v>1</v>
      </c>
      <c r="K30" s="43" t="s">
        <v>10</v>
      </c>
      <c r="L30" s="66">
        <v>1800</v>
      </c>
      <c r="M30" s="71">
        <f t="shared" si="5"/>
        <v>1800</v>
      </c>
      <c r="N30" s="2"/>
      <c r="O30" s="8" t="str">
        <f t="shared" si="16"/>
        <v>Deep Fat Fryer</v>
      </c>
      <c r="P30" s="16">
        <f t="shared" si="11"/>
        <v>30</v>
      </c>
      <c r="Q30" s="16">
        <f t="shared" si="12"/>
        <v>18</v>
      </c>
      <c r="R30" s="32">
        <f t="shared" si="13"/>
        <v>1800</v>
      </c>
      <c r="S30" s="32">
        <f t="shared" si="17"/>
        <v>0</v>
      </c>
      <c r="T30" s="32">
        <f t="shared" si="17"/>
        <v>0</v>
      </c>
      <c r="U30" s="32">
        <f t="shared" si="17"/>
        <v>0</v>
      </c>
      <c r="V30" s="32">
        <f t="shared" si="17"/>
        <v>0</v>
      </c>
      <c r="W30" s="32">
        <f t="shared" si="17"/>
        <v>0</v>
      </c>
      <c r="X30" s="32">
        <f t="shared" si="17"/>
        <v>0</v>
      </c>
      <c r="Y30" s="32">
        <f t="shared" si="17"/>
        <v>0</v>
      </c>
      <c r="Z30" s="32">
        <f t="shared" si="17"/>
        <v>0</v>
      </c>
      <c r="AA30" s="32">
        <f t="shared" si="17"/>
        <v>0</v>
      </c>
      <c r="AB30" s="32">
        <f t="shared" si="17"/>
        <v>0</v>
      </c>
      <c r="AC30" s="32">
        <f t="shared" si="17"/>
        <v>0</v>
      </c>
      <c r="AD30" s="32">
        <f t="shared" si="17"/>
        <v>0</v>
      </c>
      <c r="AE30" s="32">
        <f t="shared" si="17"/>
        <v>0</v>
      </c>
      <c r="AF30" s="32">
        <f t="shared" si="17"/>
        <v>0</v>
      </c>
      <c r="AG30" s="32">
        <f t="shared" si="17"/>
        <v>0</v>
      </c>
      <c r="AH30" s="32">
        <f t="shared" si="15"/>
        <v>0</v>
      </c>
      <c r="AI30" s="32">
        <f t="shared" si="15"/>
        <v>0</v>
      </c>
      <c r="AJ30" s="32">
        <f t="shared" si="15"/>
        <v>0</v>
      </c>
      <c r="AK30" s="32">
        <f t="shared" si="15"/>
        <v>3582</v>
      </c>
      <c r="AL30" s="32">
        <f t="shared" si="15"/>
        <v>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20" customFormat="1" ht="12.75">
      <c r="A31" s="8" t="s">
        <v>35</v>
      </c>
      <c r="B31" s="60" t="s">
        <v>39</v>
      </c>
      <c r="C31" s="28"/>
      <c r="D31" s="28"/>
      <c r="E31" s="12">
        <f t="shared" si="4"/>
        <v>0</v>
      </c>
      <c r="F31" s="7">
        <f t="shared" si="18"/>
        <v>2015</v>
      </c>
      <c r="G31" s="7">
        <f t="shared" si="8"/>
        <v>2015</v>
      </c>
      <c r="H31" s="7">
        <f t="shared" si="9"/>
        <v>2015</v>
      </c>
      <c r="I31" s="10">
        <f>I7</f>
        <v>42005</v>
      </c>
      <c r="J31" s="42">
        <v>1</v>
      </c>
      <c r="K31" s="43" t="s">
        <v>10</v>
      </c>
      <c r="L31" s="66">
        <v>5000</v>
      </c>
      <c r="M31" s="71">
        <f t="shared" si="5"/>
        <v>5000</v>
      </c>
      <c r="N31" s="2"/>
      <c r="O31" s="8" t="str">
        <f t="shared" si="16"/>
        <v>Compactor</v>
      </c>
      <c r="P31" s="16">
        <f t="shared" si="11"/>
        <v>0</v>
      </c>
      <c r="Q31" s="16">
        <f t="shared" si="12"/>
        <v>0</v>
      </c>
      <c r="R31" s="32">
        <f t="shared" si="13"/>
        <v>5000</v>
      </c>
      <c r="S31" s="32">
        <f t="shared" si="17"/>
        <v>7250</v>
      </c>
      <c r="T31" s="32">
        <f t="shared" si="17"/>
        <v>0</v>
      </c>
      <c r="U31" s="32">
        <f t="shared" si="17"/>
        <v>0</v>
      </c>
      <c r="V31" s="32">
        <f t="shared" si="17"/>
        <v>0</v>
      </c>
      <c r="W31" s="32">
        <f t="shared" si="17"/>
        <v>0</v>
      </c>
      <c r="X31" s="32">
        <f t="shared" si="17"/>
        <v>0</v>
      </c>
      <c r="Y31" s="32">
        <f t="shared" si="17"/>
        <v>0</v>
      </c>
      <c r="Z31" s="32">
        <f t="shared" si="17"/>
        <v>0</v>
      </c>
      <c r="AA31" s="32">
        <f t="shared" si="17"/>
        <v>0</v>
      </c>
      <c r="AB31" s="32">
        <f t="shared" si="17"/>
        <v>0</v>
      </c>
      <c r="AC31" s="32">
        <f t="shared" si="17"/>
        <v>0</v>
      </c>
      <c r="AD31" s="32">
        <f t="shared" si="17"/>
        <v>0</v>
      </c>
      <c r="AE31" s="32">
        <f t="shared" si="17"/>
        <v>0</v>
      </c>
      <c r="AF31" s="32">
        <f t="shared" si="17"/>
        <v>0</v>
      </c>
      <c r="AG31" s="32">
        <f t="shared" si="17"/>
        <v>0</v>
      </c>
      <c r="AH31" s="32">
        <f t="shared" si="15"/>
        <v>0</v>
      </c>
      <c r="AI31" s="32">
        <f t="shared" si="15"/>
        <v>0</v>
      </c>
      <c r="AJ31" s="32">
        <f t="shared" si="15"/>
        <v>0</v>
      </c>
      <c r="AK31" s="32">
        <f t="shared" si="15"/>
        <v>0</v>
      </c>
      <c r="AL31" s="32">
        <f t="shared" si="15"/>
        <v>0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20" customFormat="1" ht="12.75">
      <c r="A32" s="73" t="s">
        <v>92</v>
      </c>
      <c r="B32" s="60"/>
      <c r="C32" s="28"/>
      <c r="D32" s="28"/>
      <c r="E32" s="12"/>
      <c r="F32" s="7"/>
      <c r="G32" s="7"/>
      <c r="H32" s="7"/>
      <c r="I32" s="10"/>
      <c r="J32" s="42"/>
      <c r="K32" s="43"/>
      <c r="L32" s="66"/>
      <c r="M32" s="71"/>
      <c r="N32" s="2"/>
      <c r="O32" s="8"/>
      <c r="P32" s="16"/>
      <c r="Q32" s="16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20" customFormat="1" ht="12.75">
      <c r="A33" s="8"/>
      <c r="B33" s="60"/>
      <c r="C33" s="28"/>
      <c r="D33" s="28"/>
      <c r="E33" s="12"/>
      <c r="F33" s="7"/>
      <c r="G33" s="7"/>
      <c r="H33" s="7"/>
      <c r="I33" s="10"/>
      <c r="J33" s="42"/>
      <c r="K33" s="43"/>
      <c r="L33" s="66"/>
      <c r="M33" s="71"/>
      <c r="N33" s="2"/>
      <c r="O33" s="8"/>
      <c r="P33" s="16"/>
      <c r="Q33" s="16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20" customFormat="1" ht="12.75">
      <c r="A34" s="18" t="s">
        <v>36</v>
      </c>
      <c r="B34" s="60"/>
      <c r="C34" s="28"/>
      <c r="D34" s="28"/>
      <c r="E34" s="12">
        <f aca="true" t="shared" si="19" ref="E34:E43">D34-C34</f>
        <v>0</v>
      </c>
      <c r="F34" s="7"/>
      <c r="G34" s="7"/>
      <c r="H34" s="7"/>
      <c r="I34" s="10"/>
      <c r="J34" s="42"/>
      <c r="K34" s="43"/>
      <c r="L34" s="66"/>
      <c r="M34" s="71"/>
      <c r="N34" s="2"/>
      <c r="O34" s="27" t="s">
        <v>36</v>
      </c>
      <c r="P34" s="16"/>
      <c r="Q34" s="16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20" customFormat="1" ht="12.75">
      <c r="A35" s="8" t="s">
        <v>40</v>
      </c>
      <c r="B35" s="61" t="s">
        <v>65</v>
      </c>
      <c r="C35" s="28">
        <v>32</v>
      </c>
      <c r="D35" s="28">
        <v>50</v>
      </c>
      <c r="E35" s="12">
        <f t="shared" si="19"/>
        <v>18</v>
      </c>
      <c r="F35" s="7">
        <f>2015+E35</f>
        <v>2033</v>
      </c>
      <c r="G35" s="7">
        <f aca="true" t="shared" si="20" ref="G35:G43">F35+D35</f>
        <v>2083</v>
      </c>
      <c r="H35" s="7">
        <f aca="true" t="shared" si="21" ref="H35:H43">G35+D35</f>
        <v>2133</v>
      </c>
      <c r="I35" s="10">
        <f>I7</f>
        <v>42005</v>
      </c>
      <c r="J35" s="42">
        <v>1</v>
      </c>
      <c r="K35" s="43" t="s">
        <v>76</v>
      </c>
      <c r="L35" s="66">
        <v>50000</v>
      </c>
      <c r="M35" s="71">
        <f aca="true" t="shared" si="22" ref="M35:M43">J35*L35</f>
        <v>50000</v>
      </c>
      <c r="N35" s="2"/>
      <c r="O35" s="8" t="str">
        <f aca="true" t="shared" si="23" ref="O35:O43">A35</f>
        <v>Electrical</v>
      </c>
      <c r="P35" s="16">
        <f aca="true" t="shared" si="24" ref="P35:Q40">D35</f>
        <v>50</v>
      </c>
      <c r="Q35" s="16">
        <f t="shared" si="24"/>
        <v>18</v>
      </c>
      <c r="R35" s="32">
        <f aca="true" t="shared" si="25" ref="R35:R41">M35</f>
        <v>50000</v>
      </c>
      <c r="S35" s="32">
        <f aca="true" t="shared" si="26" ref="S35:AB40">IF((S$4=$F35),($R35*(1+((S$4-2000)*$D$48))),IF((S$4=$G35),($R35*(1+((S$4-2000)*$D$48))),IF((S$4=$H35),($R35*(1+((S$4-2000)*$D$48))),0)))</f>
        <v>0</v>
      </c>
      <c r="T35" s="32">
        <f t="shared" si="26"/>
        <v>0</v>
      </c>
      <c r="U35" s="32">
        <f t="shared" si="26"/>
        <v>0</v>
      </c>
      <c r="V35" s="32">
        <f t="shared" si="26"/>
        <v>0</v>
      </c>
      <c r="W35" s="32">
        <f t="shared" si="26"/>
        <v>0</v>
      </c>
      <c r="X35" s="32">
        <f t="shared" si="26"/>
        <v>0</v>
      </c>
      <c r="Y35" s="32">
        <f t="shared" si="26"/>
        <v>0</v>
      </c>
      <c r="Z35" s="32">
        <f t="shared" si="26"/>
        <v>0</v>
      </c>
      <c r="AA35" s="32">
        <f t="shared" si="26"/>
        <v>0</v>
      </c>
      <c r="AB35" s="32">
        <f t="shared" si="26"/>
        <v>0</v>
      </c>
      <c r="AC35" s="32">
        <f aca="true" t="shared" si="27" ref="AC35:AL40">IF((AC$4=$F35),($R35*(1+((AC$4-2000)*$D$48))),IF((AC$4=$G35),($R35*(1+((AC$4-2000)*$D$48))),IF((AC$4=$H35),($R35*(1+((AC$4-2000)*$D$48))),0)))</f>
        <v>0</v>
      </c>
      <c r="AD35" s="32">
        <f t="shared" si="27"/>
        <v>0</v>
      </c>
      <c r="AE35" s="32">
        <f t="shared" si="27"/>
        <v>0</v>
      </c>
      <c r="AF35" s="32">
        <f t="shared" si="27"/>
        <v>0</v>
      </c>
      <c r="AG35" s="32">
        <f t="shared" si="27"/>
        <v>0</v>
      </c>
      <c r="AH35" s="32">
        <f t="shared" si="27"/>
        <v>0</v>
      </c>
      <c r="AI35" s="32">
        <f t="shared" si="27"/>
        <v>0</v>
      </c>
      <c r="AJ35" s="32">
        <f t="shared" si="27"/>
        <v>0</v>
      </c>
      <c r="AK35" s="32">
        <f t="shared" si="27"/>
        <v>99500</v>
      </c>
      <c r="AL35" s="32">
        <f t="shared" si="27"/>
        <v>0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20" customFormat="1" ht="12.75">
      <c r="A36" s="8" t="s">
        <v>79</v>
      </c>
      <c r="B36" s="60" t="s">
        <v>80</v>
      </c>
      <c r="C36" s="28">
        <v>32</v>
      </c>
      <c r="D36" s="28">
        <v>50</v>
      </c>
      <c r="E36" s="12">
        <f t="shared" si="19"/>
        <v>18</v>
      </c>
      <c r="F36" s="7">
        <f aca="true" t="shared" si="28" ref="F36:F43">2015+E36</f>
        <v>2033</v>
      </c>
      <c r="G36" s="7">
        <f t="shared" si="20"/>
        <v>2083</v>
      </c>
      <c r="H36" s="7">
        <f t="shared" si="21"/>
        <v>2133</v>
      </c>
      <c r="I36" s="10">
        <f aca="true" t="shared" si="29" ref="I36:I43">I8</f>
        <v>42005</v>
      </c>
      <c r="J36" s="42">
        <v>1</v>
      </c>
      <c r="K36" s="43" t="s">
        <v>76</v>
      </c>
      <c r="L36" s="66">
        <v>15000</v>
      </c>
      <c r="M36" s="71">
        <f t="shared" si="22"/>
        <v>15000</v>
      </c>
      <c r="N36" s="2"/>
      <c r="O36" s="8" t="str">
        <f t="shared" si="23"/>
        <v>Plumbing - Service</v>
      </c>
      <c r="P36" s="16">
        <f t="shared" si="24"/>
        <v>50</v>
      </c>
      <c r="Q36" s="16">
        <f t="shared" si="24"/>
        <v>18</v>
      </c>
      <c r="R36" s="32">
        <f t="shared" si="25"/>
        <v>15000</v>
      </c>
      <c r="S36" s="32">
        <f t="shared" si="26"/>
        <v>0</v>
      </c>
      <c r="T36" s="32">
        <f t="shared" si="26"/>
        <v>0</v>
      </c>
      <c r="U36" s="32">
        <f t="shared" si="26"/>
        <v>0</v>
      </c>
      <c r="V36" s="32">
        <f t="shared" si="26"/>
        <v>0</v>
      </c>
      <c r="W36" s="32">
        <f t="shared" si="26"/>
        <v>0</v>
      </c>
      <c r="X36" s="32">
        <f t="shared" si="26"/>
        <v>0</v>
      </c>
      <c r="Y36" s="32">
        <f t="shared" si="26"/>
        <v>0</v>
      </c>
      <c r="Z36" s="32">
        <f t="shared" si="26"/>
        <v>0</v>
      </c>
      <c r="AA36" s="32">
        <f t="shared" si="26"/>
        <v>0</v>
      </c>
      <c r="AB36" s="32">
        <f t="shared" si="26"/>
        <v>0</v>
      </c>
      <c r="AC36" s="32">
        <f t="shared" si="27"/>
        <v>0</v>
      </c>
      <c r="AD36" s="32">
        <f t="shared" si="27"/>
        <v>0</v>
      </c>
      <c r="AE36" s="32">
        <f t="shared" si="27"/>
        <v>0</v>
      </c>
      <c r="AF36" s="32">
        <f t="shared" si="27"/>
        <v>0</v>
      </c>
      <c r="AG36" s="32">
        <f t="shared" si="27"/>
        <v>0</v>
      </c>
      <c r="AH36" s="32">
        <f t="shared" si="27"/>
        <v>0</v>
      </c>
      <c r="AI36" s="32">
        <f t="shared" si="27"/>
        <v>0</v>
      </c>
      <c r="AJ36" s="32">
        <f t="shared" si="27"/>
        <v>0</v>
      </c>
      <c r="AK36" s="32">
        <f t="shared" si="27"/>
        <v>29850</v>
      </c>
      <c r="AL36" s="32">
        <f t="shared" si="27"/>
        <v>0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20" customFormat="1" ht="12.75">
      <c r="A37" s="8" t="s">
        <v>78</v>
      </c>
      <c r="B37" s="60" t="s">
        <v>85</v>
      </c>
      <c r="C37" s="28">
        <v>32</v>
      </c>
      <c r="D37" s="28">
        <v>75</v>
      </c>
      <c r="E37" s="12">
        <f t="shared" si="19"/>
        <v>43</v>
      </c>
      <c r="F37" s="7">
        <f t="shared" si="28"/>
        <v>2058</v>
      </c>
      <c r="G37" s="7">
        <f t="shared" si="20"/>
        <v>2133</v>
      </c>
      <c r="H37" s="7">
        <f t="shared" si="21"/>
        <v>2208</v>
      </c>
      <c r="I37" s="10">
        <f t="shared" si="29"/>
        <v>42005</v>
      </c>
      <c r="J37" s="42">
        <v>1</v>
      </c>
      <c r="K37" s="43" t="s">
        <v>76</v>
      </c>
      <c r="L37" s="66">
        <v>3875</v>
      </c>
      <c r="M37" s="71">
        <f t="shared" si="22"/>
        <v>3875</v>
      </c>
      <c r="N37" s="2"/>
      <c r="O37" s="8" t="str">
        <f t="shared" si="23"/>
        <v>Plumbing - Supply</v>
      </c>
      <c r="P37" s="16">
        <f t="shared" si="24"/>
        <v>75</v>
      </c>
      <c r="Q37" s="16">
        <f t="shared" si="24"/>
        <v>43</v>
      </c>
      <c r="R37" s="32">
        <f t="shared" si="25"/>
        <v>3875</v>
      </c>
      <c r="S37" s="32">
        <f t="shared" si="26"/>
        <v>0</v>
      </c>
      <c r="T37" s="32">
        <f t="shared" si="26"/>
        <v>0</v>
      </c>
      <c r="U37" s="32">
        <f t="shared" si="26"/>
        <v>0</v>
      </c>
      <c r="V37" s="32">
        <f t="shared" si="26"/>
        <v>0</v>
      </c>
      <c r="W37" s="32">
        <f t="shared" si="26"/>
        <v>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f t="shared" si="26"/>
        <v>0</v>
      </c>
      <c r="AC37" s="32">
        <f t="shared" si="27"/>
        <v>0</v>
      </c>
      <c r="AD37" s="32">
        <f t="shared" si="27"/>
        <v>0</v>
      </c>
      <c r="AE37" s="32">
        <f t="shared" si="27"/>
        <v>0</v>
      </c>
      <c r="AF37" s="32">
        <f t="shared" si="27"/>
        <v>0</v>
      </c>
      <c r="AG37" s="32">
        <f t="shared" si="27"/>
        <v>0</v>
      </c>
      <c r="AH37" s="32">
        <f t="shared" si="27"/>
        <v>0</v>
      </c>
      <c r="AI37" s="32">
        <f t="shared" si="27"/>
        <v>0</v>
      </c>
      <c r="AJ37" s="32">
        <f t="shared" si="27"/>
        <v>0</v>
      </c>
      <c r="AK37" s="32">
        <f t="shared" si="27"/>
        <v>0</v>
      </c>
      <c r="AL37" s="32">
        <f t="shared" si="27"/>
        <v>0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20" customFormat="1" ht="12.75">
      <c r="A38" s="8" t="s">
        <v>77</v>
      </c>
      <c r="B38" s="60" t="s">
        <v>81</v>
      </c>
      <c r="C38" s="28">
        <v>32</v>
      </c>
      <c r="D38" s="28">
        <v>75</v>
      </c>
      <c r="E38" s="12">
        <f t="shared" si="19"/>
        <v>43</v>
      </c>
      <c r="F38" s="7">
        <f t="shared" si="28"/>
        <v>2058</v>
      </c>
      <c r="G38" s="7">
        <f t="shared" si="20"/>
        <v>2133</v>
      </c>
      <c r="H38" s="7">
        <f t="shared" si="21"/>
        <v>2208</v>
      </c>
      <c r="I38" s="10">
        <f t="shared" si="29"/>
        <v>42005</v>
      </c>
      <c r="J38" s="42">
        <v>1</v>
      </c>
      <c r="K38" s="43" t="s">
        <v>76</v>
      </c>
      <c r="L38" s="66">
        <v>250</v>
      </c>
      <c r="M38" s="71">
        <f t="shared" si="22"/>
        <v>250</v>
      </c>
      <c r="N38" s="2"/>
      <c r="O38" s="8" t="str">
        <f t="shared" si="23"/>
        <v>Plumbing - Drains</v>
      </c>
      <c r="P38" s="16">
        <f t="shared" si="24"/>
        <v>75</v>
      </c>
      <c r="Q38" s="16">
        <f t="shared" si="24"/>
        <v>43</v>
      </c>
      <c r="R38" s="32">
        <f t="shared" si="25"/>
        <v>250</v>
      </c>
      <c r="S38" s="32">
        <f t="shared" si="26"/>
        <v>0</v>
      </c>
      <c r="T38" s="32">
        <f t="shared" si="26"/>
        <v>0</v>
      </c>
      <c r="U38" s="32">
        <f t="shared" si="26"/>
        <v>0</v>
      </c>
      <c r="V38" s="32">
        <f t="shared" si="26"/>
        <v>0</v>
      </c>
      <c r="W38" s="32">
        <f t="shared" si="26"/>
        <v>0</v>
      </c>
      <c r="X38" s="32">
        <f t="shared" si="26"/>
        <v>0</v>
      </c>
      <c r="Y38" s="32">
        <f t="shared" si="26"/>
        <v>0</v>
      </c>
      <c r="Z38" s="32">
        <f t="shared" si="26"/>
        <v>0</v>
      </c>
      <c r="AA38" s="32">
        <f t="shared" si="26"/>
        <v>0</v>
      </c>
      <c r="AB38" s="32">
        <f t="shared" si="26"/>
        <v>0</v>
      </c>
      <c r="AC38" s="32">
        <f t="shared" si="27"/>
        <v>0</v>
      </c>
      <c r="AD38" s="32">
        <f t="shared" si="27"/>
        <v>0</v>
      </c>
      <c r="AE38" s="32">
        <f t="shared" si="27"/>
        <v>0</v>
      </c>
      <c r="AF38" s="32">
        <f t="shared" si="27"/>
        <v>0</v>
      </c>
      <c r="AG38" s="32">
        <f t="shared" si="27"/>
        <v>0</v>
      </c>
      <c r="AH38" s="32">
        <f t="shared" si="27"/>
        <v>0</v>
      </c>
      <c r="AI38" s="32">
        <f t="shared" si="27"/>
        <v>0</v>
      </c>
      <c r="AJ38" s="32">
        <f t="shared" si="27"/>
        <v>0</v>
      </c>
      <c r="AK38" s="32">
        <f t="shared" si="27"/>
        <v>0</v>
      </c>
      <c r="AL38" s="32">
        <f t="shared" si="27"/>
        <v>0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0" customFormat="1" ht="12.75">
      <c r="A39" s="8" t="s">
        <v>82</v>
      </c>
      <c r="B39" s="60" t="s">
        <v>83</v>
      </c>
      <c r="C39" s="28">
        <v>6</v>
      </c>
      <c r="D39" s="28">
        <v>10</v>
      </c>
      <c r="E39" s="12">
        <f t="shared" si="19"/>
        <v>4</v>
      </c>
      <c r="F39" s="7">
        <f t="shared" si="28"/>
        <v>2019</v>
      </c>
      <c r="G39" s="7">
        <f t="shared" si="20"/>
        <v>2029</v>
      </c>
      <c r="H39" s="7">
        <f t="shared" si="21"/>
        <v>2039</v>
      </c>
      <c r="I39" s="10">
        <f t="shared" si="29"/>
        <v>42005</v>
      </c>
      <c r="J39" s="42">
        <v>6</v>
      </c>
      <c r="K39" s="43" t="s">
        <v>10</v>
      </c>
      <c r="L39" s="66">
        <v>250</v>
      </c>
      <c r="M39" s="71">
        <f t="shared" si="22"/>
        <v>1500</v>
      </c>
      <c r="N39" s="2"/>
      <c r="O39" s="8" t="str">
        <f t="shared" si="23"/>
        <v>Plumbing-Recirculation</v>
      </c>
      <c r="P39" s="16">
        <f t="shared" si="24"/>
        <v>10</v>
      </c>
      <c r="Q39" s="16">
        <f t="shared" si="24"/>
        <v>4</v>
      </c>
      <c r="R39" s="32">
        <f t="shared" si="25"/>
        <v>1500</v>
      </c>
      <c r="S39" s="32">
        <f t="shared" si="26"/>
        <v>0</v>
      </c>
      <c r="T39" s="32">
        <f t="shared" si="26"/>
        <v>0</v>
      </c>
      <c r="U39" s="32">
        <f t="shared" si="26"/>
        <v>0</v>
      </c>
      <c r="V39" s="32">
        <f t="shared" si="26"/>
        <v>0</v>
      </c>
      <c r="W39" s="32">
        <f t="shared" si="26"/>
        <v>2354.9999999999995</v>
      </c>
      <c r="X39" s="32">
        <f t="shared" si="26"/>
        <v>0</v>
      </c>
      <c r="Y39" s="32">
        <f t="shared" si="26"/>
        <v>0</v>
      </c>
      <c r="Z39" s="32">
        <f t="shared" si="26"/>
        <v>0</v>
      </c>
      <c r="AA39" s="32">
        <f t="shared" si="26"/>
        <v>0</v>
      </c>
      <c r="AB39" s="32">
        <f t="shared" si="26"/>
        <v>0</v>
      </c>
      <c r="AC39" s="32">
        <f t="shared" si="27"/>
        <v>0</v>
      </c>
      <c r="AD39" s="32">
        <f t="shared" si="27"/>
        <v>0</v>
      </c>
      <c r="AE39" s="32">
        <f t="shared" si="27"/>
        <v>0</v>
      </c>
      <c r="AF39" s="32">
        <f t="shared" si="27"/>
        <v>0</v>
      </c>
      <c r="AG39" s="32">
        <f t="shared" si="27"/>
        <v>2805</v>
      </c>
      <c r="AH39" s="32">
        <f t="shared" si="27"/>
        <v>0</v>
      </c>
      <c r="AI39" s="32">
        <f t="shared" si="27"/>
        <v>0</v>
      </c>
      <c r="AJ39" s="32">
        <f t="shared" si="27"/>
        <v>0</v>
      </c>
      <c r="AK39" s="32">
        <f t="shared" si="27"/>
        <v>0</v>
      </c>
      <c r="AL39" s="32">
        <f t="shared" si="27"/>
        <v>0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0" customFormat="1" ht="12.75">
      <c r="A40" s="8" t="s">
        <v>41</v>
      </c>
      <c r="B40" s="60" t="s">
        <v>45</v>
      </c>
      <c r="C40" s="28">
        <v>12</v>
      </c>
      <c r="D40" s="28">
        <v>25</v>
      </c>
      <c r="E40" s="12">
        <f t="shared" si="19"/>
        <v>13</v>
      </c>
      <c r="F40" s="7">
        <f t="shared" si="28"/>
        <v>2028</v>
      </c>
      <c r="G40" s="7">
        <f t="shared" si="20"/>
        <v>2053</v>
      </c>
      <c r="H40" s="7">
        <f t="shared" si="21"/>
        <v>2078</v>
      </c>
      <c r="I40" s="10">
        <f t="shared" si="29"/>
        <v>42005</v>
      </c>
      <c r="J40" s="42">
        <v>1</v>
      </c>
      <c r="K40" s="43" t="s">
        <v>10</v>
      </c>
      <c r="L40" s="66">
        <v>1000</v>
      </c>
      <c r="M40" s="71">
        <f t="shared" si="22"/>
        <v>1000</v>
      </c>
      <c r="N40" s="2"/>
      <c r="O40" s="8" t="str">
        <f t="shared" si="23"/>
        <v>Elevator</v>
      </c>
      <c r="P40" s="16">
        <f t="shared" si="24"/>
        <v>25</v>
      </c>
      <c r="Q40" s="16">
        <f t="shared" si="24"/>
        <v>13</v>
      </c>
      <c r="R40" s="32">
        <f t="shared" si="25"/>
        <v>1000</v>
      </c>
      <c r="S40" s="32">
        <f t="shared" si="26"/>
        <v>0</v>
      </c>
      <c r="T40" s="32">
        <f t="shared" si="26"/>
        <v>0</v>
      </c>
      <c r="U40" s="32">
        <f t="shared" si="26"/>
        <v>0</v>
      </c>
      <c r="V40" s="32">
        <f t="shared" si="26"/>
        <v>0</v>
      </c>
      <c r="W40" s="32">
        <f t="shared" si="26"/>
        <v>0</v>
      </c>
      <c r="X40" s="32">
        <f t="shared" si="26"/>
        <v>0</v>
      </c>
      <c r="Y40" s="32">
        <f t="shared" si="26"/>
        <v>0</v>
      </c>
      <c r="Z40" s="32">
        <f t="shared" si="26"/>
        <v>0</v>
      </c>
      <c r="AA40" s="32">
        <f t="shared" si="26"/>
        <v>0</v>
      </c>
      <c r="AB40" s="32">
        <f t="shared" si="26"/>
        <v>0</v>
      </c>
      <c r="AC40" s="32">
        <f t="shared" si="27"/>
        <v>0</v>
      </c>
      <c r="AD40" s="32">
        <f t="shared" si="27"/>
        <v>0</v>
      </c>
      <c r="AE40" s="32">
        <f t="shared" si="27"/>
        <v>0</v>
      </c>
      <c r="AF40" s="32">
        <f t="shared" si="27"/>
        <v>1839.9999999999998</v>
      </c>
      <c r="AG40" s="32">
        <f t="shared" si="27"/>
        <v>0</v>
      </c>
      <c r="AH40" s="32">
        <f t="shared" si="27"/>
        <v>0</v>
      </c>
      <c r="AI40" s="32">
        <f t="shared" si="27"/>
        <v>0</v>
      </c>
      <c r="AJ40" s="32">
        <f t="shared" si="27"/>
        <v>0</v>
      </c>
      <c r="AK40" s="32">
        <f t="shared" si="27"/>
        <v>0</v>
      </c>
      <c r="AL40" s="32">
        <f t="shared" si="27"/>
        <v>0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0" customFormat="1" ht="12.75">
      <c r="A41" s="8" t="s">
        <v>37</v>
      </c>
      <c r="B41" s="60" t="s">
        <v>42</v>
      </c>
      <c r="C41" s="28">
        <v>1</v>
      </c>
      <c r="D41" s="28">
        <v>1</v>
      </c>
      <c r="E41" s="12">
        <f t="shared" si="19"/>
        <v>0</v>
      </c>
      <c r="F41" s="7">
        <f t="shared" si="28"/>
        <v>2015</v>
      </c>
      <c r="G41" s="7">
        <f t="shared" si="20"/>
        <v>2016</v>
      </c>
      <c r="H41" s="7">
        <f t="shared" si="21"/>
        <v>2017</v>
      </c>
      <c r="I41" s="10">
        <f t="shared" si="29"/>
        <v>42005</v>
      </c>
      <c r="J41" s="42">
        <v>1</v>
      </c>
      <c r="K41" s="43" t="s">
        <v>10</v>
      </c>
      <c r="L41" s="66">
        <v>500</v>
      </c>
      <c r="M41" s="71">
        <f t="shared" si="22"/>
        <v>500</v>
      </c>
      <c r="N41" s="2"/>
      <c r="O41" s="8" t="str">
        <f t="shared" si="23"/>
        <v>Fire Alarm System</v>
      </c>
      <c r="P41" s="16">
        <f aca="true" t="shared" si="30" ref="P41:Q43">D41</f>
        <v>1</v>
      </c>
      <c r="Q41" s="16">
        <f t="shared" si="30"/>
        <v>0</v>
      </c>
      <c r="R41" s="32">
        <f t="shared" si="25"/>
        <v>500</v>
      </c>
      <c r="S41" s="32">
        <f aca="true" t="shared" si="31" ref="S41:AB41">R41*(1+$D$48)</f>
        <v>515</v>
      </c>
      <c r="T41" s="32">
        <f t="shared" si="31"/>
        <v>530.45</v>
      </c>
      <c r="U41" s="32">
        <f t="shared" si="31"/>
        <v>546.3635</v>
      </c>
      <c r="V41" s="32">
        <f t="shared" si="31"/>
        <v>562.754405</v>
      </c>
      <c r="W41" s="32">
        <f t="shared" si="31"/>
        <v>579.6370371500001</v>
      </c>
      <c r="X41" s="32">
        <f t="shared" si="31"/>
        <v>597.0261482645001</v>
      </c>
      <c r="Y41" s="32">
        <f t="shared" si="31"/>
        <v>614.9369327124351</v>
      </c>
      <c r="Z41" s="32">
        <f t="shared" si="31"/>
        <v>633.3850406938082</v>
      </c>
      <c r="AA41" s="32">
        <f t="shared" si="31"/>
        <v>652.3865919146224</v>
      </c>
      <c r="AB41" s="32">
        <f t="shared" si="31"/>
        <v>671.958189672061</v>
      </c>
      <c r="AC41" s="32">
        <f aca="true" t="shared" si="32" ref="AC41:AL41">AB41*(1+$D$48)</f>
        <v>692.1169353622229</v>
      </c>
      <c r="AD41" s="32">
        <f t="shared" si="32"/>
        <v>712.8804434230896</v>
      </c>
      <c r="AE41" s="32">
        <f t="shared" si="32"/>
        <v>734.2668567257823</v>
      </c>
      <c r="AF41" s="32">
        <f t="shared" si="32"/>
        <v>756.2948624275558</v>
      </c>
      <c r="AG41" s="32">
        <f t="shared" si="32"/>
        <v>778.9837083003825</v>
      </c>
      <c r="AH41" s="32">
        <f t="shared" si="32"/>
        <v>802.353219549394</v>
      </c>
      <c r="AI41" s="32">
        <f t="shared" si="32"/>
        <v>826.4238161358759</v>
      </c>
      <c r="AJ41" s="32">
        <f t="shared" si="32"/>
        <v>851.2165306199522</v>
      </c>
      <c r="AK41" s="32">
        <f t="shared" si="32"/>
        <v>876.7530265385508</v>
      </c>
      <c r="AL41" s="32">
        <f t="shared" si="32"/>
        <v>903.0556173347073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0" customFormat="1" ht="12.75">
      <c r="A42" s="8" t="s">
        <v>43</v>
      </c>
      <c r="B42" s="60" t="s">
        <v>42</v>
      </c>
      <c r="C42" s="28">
        <v>1</v>
      </c>
      <c r="D42" s="28">
        <v>1</v>
      </c>
      <c r="E42" s="12">
        <f t="shared" si="19"/>
        <v>0</v>
      </c>
      <c r="F42" s="7">
        <f t="shared" si="28"/>
        <v>2015</v>
      </c>
      <c r="G42" s="7">
        <f t="shared" si="20"/>
        <v>2016</v>
      </c>
      <c r="H42" s="7">
        <f t="shared" si="21"/>
        <v>2017</v>
      </c>
      <c r="I42" s="10">
        <f t="shared" si="29"/>
        <v>42005</v>
      </c>
      <c r="J42" s="42">
        <v>1</v>
      </c>
      <c r="K42" s="43" t="s">
        <v>10</v>
      </c>
      <c r="L42" s="66">
        <v>1500</v>
      </c>
      <c r="M42" s="71">
        <f t="shared" si="22"/>
        <v>1500</v>
      </c>
      <c r="N42" s="2"/>
      <c r="O42" s="8" t="str">
        <f t="shared" si="23"/>
        <v>Mechanical System</v>
      </c>
      <c r="P42" s="16">
        <f t="shared" si="30"/>
        <v>1</v>
      </c>
      <c r="Q42" s="16">
        <f t="shared" si="30"/>
        <v>0</v>
      </c>
      <c r="R42" s="32">
        <f>M42</f>
        <v>1500</v>
      </c>
      <c r="S42" s="32">
        <f>R42*(1+$D$48)</f>
        <v>1545</v>
      </c>
      <c r="T42" s="32">
        <f aca="true" t="shared" si="33" ref="T42:AL42">S42*(1+$D$48)</f>
        <v>1591.3500000000001</v>
      </c>
      <c r="U42" s="32">
        <f t="shared" si="33"/>
        <v>1639.0905000000002</v>
      </c>
      <c r="V42" s="32">
        <f t="shared" si="33"/>
        <v>1688.2632150000004</v>
      </c>
      <c r="W42" s="32">
        <f t="shared" si="33"/>
        <v>1738.9111114500004</v>
      </c>
      <c r="X42" s="32">
        <f t="shared" si="33"/>
        <v>1791.0784447935005</v>
      </c>
      <c r="Y42" s="32">
        <f t="shared" si="33"/>
        <v>1844.8107981373055</v>
      </c>
      <c r="Z42" s="32">
        <f t="shared" si="33"/>
        <v>1900.1551220814247</v>
      </c>
      <c r="AA42" s="32">
        <f t="shared" si="33"/>
        <v>1957.1597757438674</v>
      </c>
      <c r="AB42" s="32">
        <f t="shared" si="33"/>
        <v>2015.8745690161834</v>
      </c>
      <c r="AC42" s="32">
        <f t="shared" si="33"/>
        <v>2076.350806086669</v>
      </c>
      <c r="AD42" s="32">
        <f>AC42*(1+$D$48)</f>
        <v>2138.641330269269</v>
      </c>
      <c r="AE42" s="32">
        <f t="shared" si="33"/>
        <v>2202.8005701773473</v>
      </c>
      <c r="AF42" s="32">
        <f t="shared" si="33"/>
        <v>2268.884587282668</v>
      </c>
      <c r="AG42" s="32">
        <f t="shared" si="33"/>
        <v>2336.951124901148</v>
      </c>
      <c r="AH42" s="32">
        <f t="shared" si="33"/>
        <v>2407.0596586481824</v>
      </c>
      <c r="AI42" s="32">
        <f t="shared" si="33"/>
        <v>2479.271448407628</v>
      </c>
      <c r="AJ42" s="32">
        <f t="shared" si="33"/>
        <v>2553.649591859857</v>
      </c>
      <c r="AK42" s="32">
        <f t="shared" si="33"/>
        <v>2630.259079615653</v>
      </c>
      <c r="AL42" s="32">
        <f t="shared" si="33"/>
        <v>2709.1668520041226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0" customFormat="1" ht="12.75">
      <c r="A43" s="8" t="s">
        <v>66</v>
      </c>
      <c r="B43" s="61" t="s">
        <v>84</v>
      </c>
      <c r="C43" s="28">
        <v>10</v>
      </c>
      <c r="D43" s="28">
        <v>50</v>
      </c>
      <c r="E43" s="12">
        <f t="shared" si="19"/>
        <v>40</v>
      </c>
      <c r="F43" s="7">
        <f t="shared" si="28"/>
        <v>2055</v>
      </c>
      <c r="G43" s="7">
        <f t="shared" si="20"/>
        <v>2105</v>
      </c>
      <c r="H43" s="7">
        <f t="shared" si="21"/>
        <v>2155</v>
      </c>
      <c r="I43" s="10">
        <f t="shared" si="29"/>
        <v>0</v>
      </c>
      <c r="J43" s="42">
        <v>1</v>
      </c>
      <c r="K43" s="43" t="s">
        <v>76</v>
      </c>
      <c r="L43" s="66">
        <v>2000</v>
      </c>
      <c r="M43" s="71">
        <f t="shared" si="22"/>
        <v>2000</v>
      </c>
      <c r="N43" s="2"/>
      <c r="O43" s="8" t="str">
        <f t="shared" si="23"/>
        <v>Fire Protection</v>
      </c>
      <c r="P43" s="16">
        <f t="shared" si="30"/>
        <v>50</v>
      </c>
      <c r="Q43" s="16">
        <f t="shared" si="30"/>
        <v>40</v>
      </c>
      <c r="R43" s="32">
        <f>M43</f>
        <v>2000</v>
      </c>
      <c r="S43" s="32">
        <f aca="true" t="shared" si="34" ref="S43:AL43">IF((S$4=$F43),($R43*(1+((S$4-2000)*$D$48))),IF((S$4=$G43),($R43*(1+((S$4-2000)*$D$48))),IF((S$4=$H43),($R43*(1+((S$4-2000)*$D$48))),0)))</f>
        <v>0</v>
      </c>
      <c r="T43" s="32">
        <f t="shared" si="34"/>
        <v>0</v>
      </c>
      <c r="U43" s="32">
        <f t="shared" si="34"/>
        <v>0</v>
      </c>
      <c r="V43" s="32">
        <f t="shared" si="34"/>
        <v>0</v>
      </c>
      <c r="W43" s="32">
        <f t="shared" si="34"/>
        <v>0</v>
      </c>
      <c r="X43" s="32">
        <f t="shared" si="34"/>
        <v>0</v>
      </c>
      <c r="Y43" s="32">
        <f t="shared" si="34"/>
        <v>0</v>
      </c>
      <c r="Z43" s="32">
        <f t="shared" si="34"/>
        <v>0</v>
      </c>
      <c r="AA43" s="32">
        <f t="shared" si="34"/>
        <v>0</v>
      </c>
      <c r="AB43" s="32">
        <f t="shared" si="34"/>
        <v>0</v>
      </c>
      <c r="AC43" s="32">
        <f t="shared" si="34"/>
        <v>0</v>
      </c>
      <c r="AD43" s="32">
        <f t="shared" si="34"/>
        <v>0</v>
      </c>
      <c r="AE43" s="32">
        <f t="shared" si="34"/>
        <v>0</v>
      </c>
      <c r="AF43" s="32">
        <f t="shared" si="34"/>
        <v>0</v>
      </c>
      <c r="AG43" s="32">
        <f t="shared" si="34"/>
        <v>0</v>
      </c>
      <c r="AH43" s="32">
        <f t="shared" si="34"/>
        <v>0</v>
      </c>
      <c r="AI43" s="32">
        <f t="shared" si="34"/>
        <v>0</v>
      </c>
      <c r="AJ43" s="32">
        <f t="shared" si="34"/>
        <v>0</v>
      </c>
      <c r="AK43" s="32">
        <f t="shared" si="34"/>
        <v>0</v>
      </c>
      <c r="AL43" s="32">
        <f t="shared" si="34"/>
        <v>0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0" customFormat="1" ht="12.75">
      <c r="A44" s="73" t="s">
        <v>92</v>
      </c>
      <c r="B44" s="60"/>
      <c r="C44" s="7"/>
      <c r="D44" s="7"/>
      <c r="E44" s="12"/>
      <c r="F44" s="7"/>
      <c r="G44" s="7"/>
      <c r="H44" s="7"/>
      <c r="I44" s="10"/>
      <c r="J44" s="12"/>
      <c r="K44" s="43"/>
      <c r="L44" s="66"/>
      <c r="M44" s="71"/>
      <c r="N44" s="2"/>
      <c r="O44" s="8"/>
      <c r="P44" s="16"/>
      <c r="Q44" s="16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0" customFormat="1" ht="12.75">
      <c r="A45" s="8"/>
      <c r="B45" s="60"/>
      <c r="C45" s="7"/>
      <c r="D45" s="7"/>
      <c r="E45" s="12"/>
      <c r="F45" s="7"/>
      <c r="G45" s="7"/>
      <c r="H45" s="7"/>
      <c r="I45" s="10"/>
      <c r="J45" s="12"/>
      <c r="K45" s="43"/>
      <c r="L45" s="66"/>
      <c r="M45" s="71"/>
      <c r="N45" s="2"/>
      <c r="O45" s="8"/>
      <c r="P45" s="16"/>
      <c r="Q45" s="16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0" customFormat="1" ht="12.75">
      <c r="A46" s="77" t="s">
        <v>12</v>
      </c>
      <c r="B46" s="77"/>
      <c r="C46" s="77"/>
      <c r="D46" s="16">
        <v>50000</v>
      </c>
      <c r="E46" s="55" t="s">
        <v>49</v>
      </c>
      <c r="F46" s="23"/>
      <c r="G46" s="23"/>
      <c r="H46" s="7"/>
      <c r="I46" s="2"/>
      <c r="J46" s="12"/>
      <c r="K46" s="43"/>
      <c r="L46" s="66"/>
      <c r="M46" s="68"/>
      <c r="N46" s="2"/>
      <c r="O46" s="8"/>
      <c r="P46" s="16"/>
      <c r="Q46" s="1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" customFormat="1" ht="12.75">
      <c r="A47" s="77" t="s">
        <v>20</v>
      </c>
      <c r="B47" s="77"/>
      <c r="C47" s="77"/>
      <c r="D47" s="16">
        <v>10000</v>
      </c>
      <c r="E47" s="55" t="s">
        <v>50</v>
      </c>
      <c r="F47" s="23"/>
      <c r="G47" s="23"/>
      <c r="H47" s="7"/>
      <c r="J47" s="12"/>
      <c r="K47" s="56"/>
      <c r="L47" s="67"/>
      <c r="M47" s="68"/>
      <c r="P47" s="16"/>
      <c r="Q47" s="16"/>
      <c r="R47" s="33" t="s">
        <v>16</v>
      </c>
      <c r="S47" s="32">
        <f aca="true" t="shared" si="35" ref="S47:AL47">SUM(S7:S44)</f>
        <v>32351.40254314996</v>
      </c>
      <c r="T47" s="32">
        <f t="shared" si="35"/>
        <v>2387.025</v>
      </c>
      <c r="U47" s="32">
        <f t="shared" si="35"/>
        <v>14538.63575</v>
      </c>
      <c r="V47" s="32">
        <f t="shared" si="35"/>
        <v>11145.670626948926</v>
      </c>
      <c r="W47" s="32">
        <f t="shared" si="35"/>
        <v>4963.366667175</v>
      </c>
      <c r="X47" s="32">
        <f t="shared" si="35"/>
        <v>7486.61766719025</v>
      </c>
      <c r="Y47" s="32">
        <f t="shared" si="35"/>
        <v>7189.465262953847</v>
      </c>
      <c r="Z47" s="32">
        <f t="shared" si="35"/>
        <v>2850.232683122137</v>
      </c>
      <c r="AA47" s="32">
        <f t="shared" si="35"/>
        <v>120336.03939554105</v>
      </c>
      <c r="AB47" s="32">
        <f t="shared" si="35"/>
        <v>21600.149015637984</v>
      </c>
      <c r="AC47" s="32">
        <f t="shared" si="35"/>
        <v>8360.494459991969</v>
      </c>
      <c r="AD47" s="32">
        <f t="shared" si="35"/>
        <v>3203.80929379173</v>
      </c>
      <c r="AE47" s="32">
        <f t="shared" si="35"/>
        <v>8553.99768762055</v>
      </c>
      <c r="AF47" s="32">
        <f t="shared" si="35"/>
        <v>5238.921279783646</v>
      </c>
      <c r="AG47" s="32">
        <f t="shared" si="35"/>
        <v>6305.8889181771565</v>
      </c>
      <c r="AH47" s="32">
        <f t="shared" si="35"/>
        <v>34370.35637108889</v>
      </c>
      <c r="AI47" s="32">
        <f t="shared" si="35"/>
        <v>19154.093053294146</v>
      </c>
      <c r="AJ47" s="32">
        <f t="shared" si="35"/>
        <v>3825.51584489297</v>
      </c>
      <c r="AK47" s="32">
        <f t="shared" si="35"/>
        <v>148845.84677628914</v>
      </c>
      <c r="AL47" s="32">
        <f t="shared" si="35"/>
        <v>8098.489759846952</v>
      </c>
      <c r="AM47" s="2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" customFormat="1" ht="12.75">
      <c r="A48" s="77" t="s">
        <v>15</v>
      </c>
      <c r="B48" s="77"/>
      <c r="C48" s="77"/>
      <c r="D48" s="24">
        <v>0.03</v>
      </c>
      <c r="E48" s="55" t="s">
        <v>57</v>
      </c>
      <c r="F48" s="57"/>
      <c r="G48" s="57"/>
      <c r="H48" s="7"/>
      <c r="J48" s="12"/>
      <c r="K48" s="56"/>
      <c r="L48" s="67"/>
      <c r="M48" s="68"/>
      <c r="P48" s="16"/>
      <c r="Q48" s="16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38" ht="12.75">
      <c r="A49" s="76" t="s">
        <v>18</v>
      </c>
      <c r="B49" s="76"/>
      <c r="C49" s="76"/>
      <c r="D49" s="24">
        <v>0.03</v>
      </c>
      <c r="E49" s="55" t="s">
        <v>53</v>
      </c>
      <c r="F49" s="23"/>
      <c r="G49" s="23"/>
      <c r="H49" s="7"/>
      <c r="I49" s="50"/>
      <c r="J49" s="12"/>
      <c r="K49" s="58"/>
      <c r="P49" s="21"/>
      <c r="Q49" s="21"/>
      <c r="R49" s="34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2:69" s="11" customFormat="1" ht="12.75" customHeight="1">
      <c r="B50" s="62"/>
      <c r="C50" s="23" t="s">
        <v>44</v>
      </c>
      <c r="D50" s="86">
        <v>0.0325</v>
      </c>
      <c r="E50" s="55" t="s">
        <v>51</v>
      </c>
      <c r="H50" s="7"/>
      <c r="J50" s="13"/>
      <c r="L50" s="64"/>
      <c r="M50" s="72"/>
      <c r="N50" s="12"/>
      <c r="P50" s="85" t="s">
        <v>3</v>
      </c>
      <c r="Q50" s="85"/>
      <c r="R50" s="85"/>
      <c r="S50" s="32">
        <v>95000</v>
      </c>
      <c r="T50" s="32">
        <f aca="true" t="shared" si="36" ref="T50:AL50">S54</f>
        <v>75498.59745685004</v>
      </c>
      <c r="U50" s="32">
        <f t="shared" si="36"/>
        <v>85676.53038055554</v>
      </c>
      <c r="V50" s="32">
        <f t="shared" si="36"/>
        <v>84317.19054197222</v>
      </c>
      <c r="W50" s="32">
        <f t="shared" si="36"/>
        <v>86628.30563128246</v>
      </c>
      <c r="X50" s="32">
        <f t="shared" si="36"/>
        <v>95518.87623304594</v>
      </c>
      <c r="Y50" s="32">
        <f t="shared" si="36"/>
        <v>102490.56559584707</v>
      </c>
      <c r="Z50" s="32">
        <f t="shared" si="36"/>
        <v>110316.34026605864</v>
      </c>
      <c r="AA50" s="32">
        <f t="shared" si="36"/>
        <v>123074.33644516695</v>
      </c>
      <c r="AB50" s="32">
        <f t="shared" si="36"/>
        <v>19098.22795685708</v>
      </c>
      <c r="AC50" s="32">
        <f t="shared" si="36"/>
        <v>11118.757618217256</v>
      </c>
      <c r="AD50" s="32">
        <f t="shared" si="36"/>
        <v>16530.989680213024</v>
      </c>
      <c r="AE50" s="32">
        <f t="shared" si="36"/>
        <v>27665.44878407214</v>
      </c>
      <c r="AF50" s="32">
        <f t="shared" si="36"/>
        <v>34199.02342843555</v>
      </c>
      <c r="AG50" s="32">
        <f t="shared" si="36"/>
        <v>44671.40998602061</v>
      </c>
      <c r="AH50" s="32">
        <f t="shared" si="36"/>
        <v>54831.560615975184</v>
      </c>
      <c r="AI50" s="32">
        <f t="shared" si="36"/>
        <v>37685.8252293732</v>
      </c>
      <c r="AJ50" s="32">
        <f t="shared" si="36"/>
        <v>35709.37132394813</v>
      </c>
      <c r="AK50" s="32">
        <f t="shared" si="36"/>
        <v>49483.61294149111</v>
      </c>
      <c r="AL50" s="32">
        <f t="shared" si="36"/>
        <v>-80853.39483415424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11" customFormat="1" ht="12.75" customHeight="1">
      <c r="B51" s="62"/>
      <c r="H51" s="23"/>
      <c r="J51" s="13"/>
      <c r="L51" s="64"/>
      <c r="M51" s="72"/>
      <c r="N51" s="12"/>
      <c r="P51" s="15"/>
      <c r="Q51" s="15"/>
      <c r="R51" s="33" t="s">
        <v>17</v>
      </c>
      <c r="S51" s="32">
        <f aca="true" t="shared" si="37" ref="S51:AL51">IF(S50&gt;0,S50*$D$49,0)</f>
        <v>2850</v>
      </c>
      <c r="T51" s="32">
        <f t="shared" si="37"/>
        <v>2264.957923705501</v>
      </c>
      <c r="U51" s="32">
        <f t="shared" si="37"/>
        <v>2570.295911416666</v>
      </c>
      <c r="V51" s="32">
        <f t="shared" si="37"/>
        <v>2529.5157162591663</v>
      </c>
      <c r="W51" s="32">
        <f t="shared" si="37"/>
        <v>2598.8491689384737</v>
      </c>
      <c r="X51" s="32">
        <f t="shared" si="37"/>
        <v>2865.566286991378</v>
      </c>
      <c r="Y51" s="32">
        <f t="shared" si="37"/>
        <v>3074.716967875412</v>
      </c>
      <c r="Z51" s="32">
        <f t="shared" si="37"/>
        <v>3309.4902079817593</v>
      </c>
      <c r="AA51" s="32">
        <f t="shared" si="37"/>
        <v>3692.230093355008</v>
      </c>
      <c r="AB51" s="32">
        <f t="shared" si="37"/>
        <v>572.9468387057124</v>
      </c>
      <c r="AC51" s="32">
        <f t="shared" si="37"/>
        <v>333.5627285465177</v>
      </c>
      <c r="AD51" s="32">
        <f t="shared" si="37"/>
        <v>495.9296904063907</v>
      </c>
      <c r="AE51" s="32">
        <f t="shared" si="37"/>
        <v>829.9634635221643</v>
      </c>
      <c r="AF51" s="32">
        <f t="shared" si="37"/>
        <v>1025.9707028530663</v>
      </c>
      <c r="AG51" s="32">
        <f t="shared" si="37"/>
        <v>1340.1422995806183</v>
      </c>
      <c r="AH51" s="32">
        <f t="shared" si="37"/>
        <v>1644.9468184792554</v>
      </c>
      <c r="AI51" s="32">
        <f t="shared" si="37"/>
        <v>1130.574756881196</v>
      </c>
      <c r="AJ51" s="32">
        <f t="shared" si="37"/>
        <v>1071.281139718444</v>
      </c>
      <c r="AK51" s="32">
        <f t="shared" si="37"/>
        <v>1484.5083882447334</v>
      </c>
      <c r="AL51" s="32">
        <f t="shared" si="37"/>
        <v>0</v>
      </c>
      <c r="AM51" s="2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11" customFormat="1" ht="12.75" customHeight="1">
      <c r="B52" s="62"/>
      <c r="D52" s="14"/>
      <c r="E52" s="40" t="s">
        <v>55</v>
      </c>
      <c r="H52" s="23"/>
      <c r="J52" s="13"/>
      <c r="L52" s="64"/>
      <c r="M52" s="72"/>
      <c r="N52" s="12"/>
      <c r="P52" s="85" t="s">
        <v>19</v>
      </c>
      <c r="Q52" s="85"/>
      <c r="R52" s="85"/>
      <c r="S52" s="32">
        <f>D47</f>
        <v>10000</v>
      </c>
      <c r="T52" s="32">
        <f>S52*(1+$D$49)</f>
        <v>10300</v>
      </c>
      <c r="U52" s="32">
        <f>T52*(1+$D$49)</f>
        <v>10609</v>
      </c>
      <c r="V52" s="32">
        <f aca="true" t="shared" si="38" ref="V52:AL52">U52*(1+$D$49)</f>
        <v>10927.27</v>
      </c>
      <c r="W52" s="32">
        <f t="shared" si="38"/>
        <v>11255.0881</v>
      </c>
      <c r="X52" s="32">
        <f t="shared" si="38"/>
        <v>11592.740743</v>
      </c>
      <c r="Y52" s="32">
        <f t="shared" si="38"/>
        <v>11940.52296529</v>
      </c>
      <c r="Z52" s="32">
        <f t="shared" si="38"/>
        <v>12298.7386542487</v>
      </c>
      <c r="AA52" s="32">
        <f t="shared" si="38"/>
        <v>12667.700813876161</v>
      </c>
      <c r="AB52" s="32">
        <f>AA52*(1+$D$49)</f>
        <v>13047.731838292446</v>
      </c>
      <c r="AC52" s="32">
        <f t="shared" si="38"/>
        <v>13439.16379344122</v>
      </c>
      <c r="AD52" s="32">
        <f t="shared" si="38"/>
        <v>13842.338707244457</v>
      </c>
      <c r="AE52" s="32">
        <f t="shared" si="38"/>
        <v>14257.60886846179</v>
      </c>
      <c r="AF52" s="32">
        <f t="shared" si="38"/>
        <v>14685.337134515645</v>
      </c>
      <c r="AG52" s="32">
        <f t="shared" si="38"/>
        <v>15125.897248551115</v>
      </c>
      <c r="AH52" s="32">
        <f>AG52*(1+$D$49)</f>
        <v>15579.67416600765</v>
      </c>
      <c r="AI52" s="32">
        <f t="shared" si="38"/>
        <v>16047.06439098788</v>
      </c>
      <c r="AJ52" s="32">
        <f t="shared" si="38"/>
        <v>16528.476322717517</v>
      </c>
      <c r="AK52" s="32">
        <f t="shared" si="38"/>
        <v>17024.330612399044</v>
      </c>
      <c r="AL52" s="32">
        <f t="shared" si="38"/>
        <v>17535.060530771018</v>
      </c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</row>
    <row r="53" spans="2:69" s="13" customFormat="1" ht="12.75" customHeight="1">
      <c r="B53" s="63"/>
      <c r="D53" s="12"/>
      <c r="H53" s="57"/>
      <c r="L53" s="66"/>
      <c r="M53" s="72"/>
      <c r="N53" s="12"/>
      <c r="P53" s="85" t="s">
        <v>13</v>
      </c>
      <c r="Q53" s="85"/>
      <c r="R53" s="85"/>
      <c r="S53" s="32">
        <f>-S47</f>
        <v>-32351.40254314996</v>
      </c>
      <c r="T53" s="32">
        <f aca="true" t="shared" si="39" ref="T53:AL53">-T47</f>
        <v>-2387.025</v>
      </c>
      <c r="U53" s="32">
        <f t="shared" si="39"/>
        <v>-14538.63575</v>
      </c>
      <c r="V53" s="32">
        <f t="shared" si="39"/>
        <v>-11145.670626948926</v>
      </c>
      <c r="W53" s="32">
        <f t="shared" si="39"/>
        <v>-4963.366667175</v>
      </c>
      <c r="X53" s="32">
        <f t="shared" si="39"/>
        <v>-7486.61766719025</v>
      </c>
      <c r="Y53" s="32">
        <f t="shared" si="39"/>
        <v>-7189.465262953847</v>
      </c>
      <c r="Z53" s="32">
        <f t="shared" si="39"/>
        <v>-2850.232683122137</v>
      </c>
      <c r="AA53" s="32">
        <f t="shared" si="39"/>
        <v>-120336.03939554105</v>
      </c>
      <c r="AB53" s="32">
        <f t="shared" si="39"/>
        <v>-21600.149015637984</v>
      </c>
      <c r="AC53" s="32">
        <f t="shared" si="39"/>
        <v>-8360.494459991969</v>
      </c>
      <c r="AD53" s="32">
        <f t="shared" si="39"/>
        <v>-3203.80929379173</v>
      </c>
      <c r="AE53" s="32">
        <f t="shared" si="39"/>
        <v>-8553.99768762055</v>
      </c>
      <c r="AF53" s="32">
        <f t="shared" si="39"/>
        <v>-5238.921279783646</v>
      </c>
      <c r="AG53" s="32">
        <f t="shared" si="39"/>
        <v>-6305.8889181771565</v>
      </c>
      <c r="AH53" s="32">
        <f t="shared" si="39"/>
        <v>-34370.35637108889</v>
      </c>
      <c r="AI53" s="32">
        <f t="shared" si="39"/>
        <v>-19154.093053294146</v>
      </c>
      <c r="AJ53" s="32">
        <f t="shared" si="39"/>
        <v>-3825.51584489297</v>
      </c>
      <c r="AK53" s="32">
        <f t="shared" si="39"/>
        <v>-148845.84677628914</v>
      </c>
      <c r="AL53" s="32">
        <f t="shared" si="39"/>
        <v>-8098.489759846952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13" customFormat="1" ht="12.75" customHeight="1">
      <c r="B54" s="63"/>
      <c r="D54" s="12"/>
      <c r="H54" s="23"/>
      <c r="L54" s="66"/>
      <c r="M54" s="72"/>
      <c r="N54" s="12"/>
      <c r="P54" s="85" t="s">
        <v>2</v>
      </c>
      <c r="Q54" s="85"/>
      <c r="R54" s="85"/>
      <c r="S54" s="33">
        <f>SUM(S50:S53)</f>
        <v>75498.59745685004</v>
      </c>
      <c r="T54" s="33">
        <f aca="true" t="shared" si="40" ref="T54:AL54">SUM(T50:T53)</f>
        <v>85676.53038055554</v>
      </c>
      <c r="U54" s="33">
        <f t="shared" si="40"/>
        <v>84317.19054197222</v>
      </c>
      <c r="V54" s="33">
        <f t="shared" si="40"/>
        <v>86628.30563128246</v>
      </c>
      <c r="W54" s="33">
        <f t="shared" si="40"/>
        <v>95518.87623304594</v>
      </c>
      <c r="X54" s="33">
        <f t="shared" si="40"/>
        <v>102490.56559584707</v>
      </c>
      <c r="Y54" s="33">
        <f t="shared" si="40"/>
        <v>110316.34026605864</v>
      </c>
      <c r="Z54" s="33">
        <f t="shared" si="40"/>
        <v>123074.33644516695</v>
      </c>
      <c r="AA54" s="33">
        <f t="shared" si="40"/>
        <v>19098.22795685708</v>
      </c>
      <c r="AB54" s="33">
        <f t="shared" si="40"/>
        <v>11118.757618217256</v>
      </c>
      <c r="AC54" s="33">
        <f t="shared" si="40"/>
        <v>16530.989680213024</v>
      </c>
      <c r="AD54" s="33">
        <f t="shared" si="40"/>
        <v>27665.44878407214</v>
      </c>
      <c r="AE54" s="33">
        <f t="shared" si="40"/>
        <v>34199.02342843555</v>
      </c>
      <c r="AF54" s="33">
        <f t="shared" si="40"/>
        <v>44671.40998602061</v>
      </c>
      <c r="AG54" s="33">
        <f t="shared" si="40"/>
        <v>54831.560615975184</v>
      </c>
      <c r="AH54" s="33">
        <f t="shared" si="40"/>
        <v>37685.8252293732</v>
      </c>
      <c r="AI54" s="33">
        <f t="shared" si="40"/>
        <v>35709.37132394813</v>
      </c>
      <c r="AJ54" s="33">
        <f t="shared" si="40"/>
        <v>49483.61294149111</v>
      </c>
      <c r="AK54" s="33">
        <f t="shared" si="40"/>
        <v>-80853.39483415424</v>
      </c>
      <c r="AL54" s="33">
        <f t="shared" si="40"/>
        <v>-71416.82406323017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8:39" ht="136.5" customHeight="1">
      <c r="H55" s="11"/>
      <c r="AK55" s="83" t="s">
        <v>56</v>
      </c>
      <c r="AL55" s="83"/>
      <c r="AM55" s="41"/>
    </row>
    <row r="56" ht="12.75">
      <c r="H56" s="11"/>
    </row>
    <row r="57" ht="12.75">
      <c r="H57" s="11"/>
    </row>
    <row r="58" ht="12.75">
      <c r="H58" s="13"/>
    </row>
    <row r="59" ht="12.75">
      <c r="H59" s="13"/>
    </row>
  </sheetData>
  <sheetProtection/>
  <mergeCells count="26">
    <mergeCell ref="AK55:AL55"/>
    <mergeCell ref="P3:P4"/>
    <mergeCell ref="Q3:Q4"/>
    <mergeCell ref="R3:R4"/>
    <mergeCell ref="O3:O4"/>
    <mergeCell ref="P53:R53"/>
    <mergeCell ref="P54:R54"/>
    <mergeCell ref="P50:R50"/>
    <mergeCell ref="P52:R52"/>
    <mergeCell ref="M3:M4"/>
    <mergeCell ref="E3:E4"/>
    <mergeCell ref="I3:I4"/>
    <mergeCell ref="B3:B4"/>
    <mergeCell ref="C3:C4"/>
    <mergeCell ref="J3:J4"/>
    <mergeCell ref="L3:L4"/>
    <mergeCell ref="F3:F4"/>
    <mergeCell ref="K3:K4"/>
    <mergeCell ref="G3:G4"/>
    <mergeCell ref="H3:H4"/>
    <mergeCell ref="A49:C49"/>
    <mergeCell ref="A46:C46"/>
    <mergeCell ref="A47:C47"/>
    <mergeCell ref="A3:A4"/>
    <mergeCell ref="D3:D4"/>
    <mergeCell ref="A48:C48"/>
  </mergeCells>
  <printOptions gridLines="1" horizontalCentered="1"/>
  <pageMargins left="0.2" right="0.24" top="0.39" bottom="0.8" header="0.27" footer="0.5"/>
  <pageSetup fitToHeight="2" fitToWidth="2" horizontalDpi="600" verticalDpi="600" orientation="landscape" paperSize="5" scale="79" r:id="rId1"/>
  <headerFooter alignWithMargins="0">
    <oddFooter>&amp;C&amp;A&amp;R&amp;D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COORDINATOR</dc:creator>
  <cp:keywords/>
  <dc:description/>
  <cp:lastModifiedBy>Foster Edward</cp:lastModifiedBy>
  <cp:lastPrinted>2009-09-22T21:06:38Z</cp:lastPrinted>
  <dcterms:created xsi:type="dcterms:W3CDTF">1998-12-04T22:56:40Z</dcterms:created>
  <dcterms:modified xsi:type="dcterms:W3CDTF">2016-06-17T22:28:22Z</dcterms:modified>
  <cp:category/>
  <cp:version/>
  <cp:contentType/>
  <cp:contentStatus/>
</cp:coreProperties>
</file>